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comments1.xml" ContentType="application/vnd.openxmlformats-officedocument.spreadsheetml.comments+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omments2.xml" ContentType="application/vnd.openxmlformats-officedocument.spreadsheetml.comments+xml"/>
  <Override PartName="/xl/persons/person.xml" ContentType="application/vnd.ms-excel.person+xml"/>
  <Override PartName="/xl/calcChain.xml" ContentType="application/vnd.openxmlformats-officedocument.spreadsheetml.calcChain+xml"/>
  <Override PartName="/xl/webextensions/taskpanes.xml" ContentType="application/vnd.ms-office.webextensiontaskpanes+xml"/>
  <Override PartName="/xl/webextensions/webextension1.xml" ContentType="application/vnd.ms-office.webextensi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11/relationships/webextensiontaskpanes" Target="xl/webextensions/taskpanes.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codeName="ThisWorkbook" defaultThemeVersion="166925"/>
  <mc:AlternateContent xmlns:mc="http://schemas.openxmlformats.org/markup-compatibility/2006">
    <mc:Choice Requires="x15">
      <x15ac:absPath xmlns:x15ac="http://schemas.microsoft.com/office/spreadsheetml/2010/11/ac" url="https://d.docs.live.net/dfeef1721395a145/Desktop/Scientia/"/>
    </mc:Choice>
  </mc:AlternateContent>
  <xr:revisionPtr revIDLastSave="0" documentId="8_{89214072-5363-4DAB-B873-5108A4EBA297}" xr6:coauthVersionLast="47" xr6:coauthVersionMax="47" xr10:uidLastSave="{00000000-0000-0000-0000-000000000000}"/>
  <bookViews>
    <workbookView xWindow="-110" yWindow="-110" windowWidth="19420" windowHeight="11500" firstSheet="1" activeTab="3" xr2:uid="{C004D953-8412-493E-A910-A95265F3CA5A}"/>
  </bookViews>
  <sheets>
    <sheet name="Instrucciones" sheetId="2" r:id="rId1"/>
    <sheet name="Estrategia" sheetId="4" r:id="rId2"/>
    <sheet name="Portafolio Actual" sheetId="1" r:id="rId3"/>
    <sheet name="Último rebalanceo" sheetId="3" r:id="rId4"/>
    <sheet name="12M anteriores" sheetId="5" r:id="rId5"/>
    <sheet name="GICS" sheetId="6" r:id="rId6"/>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48" i="3" l="1"/>
  <c r="C49" i="3"/>
  <c r="C50" i="3"/>
  <c r="C51" i="3"/>
  <c r="C52" i="3"/>
  <c r="C53" i="3"/>
  <c r="C54" i="3"/>
  <c r="C55" i="3"/>
  <c r="C56" i="3"/>
  <c r="C57" i="3"/>
  <c r="C58" i="3"/>
  <c r="C59" i="3"/>
  <c r="C60" i="3"/>
  <c r="C61" i="3"/>
  <c r="C62" i="3"/>
  <c r="C63" i="3"/>
  <c r="C64" i="3"/>
  <c r="C65" i="3"/>
  <c r="C66" i="3"/>
  <c r="C67" i="3"/>
  <c r="C68" i="3"/>
  <c r="C69" i="3"/>
  <c r="C70" i="3"/>
  <c r="C71" i="3"/>
  <c r="C72" i="3"/>
  <c r="C73" i="3"/>
  <c r="C74" i="3"/>
  <c r="C75" i="3"/>
  <c r="C76" i="3"/>
  <c r="C77" i="3"/>
  <c r="C78" i="3"/>
  <c r="C79" i="3"/>
  <c r="C80" i="3"/>
  <c r="C81" i="3"/>
  <c r="C47" i="3"/>
  <c r="K7" i="3"/>
  <c r="M7" i="3" s="1"/>
  <c r="C8" i="3"/>
  <c r="C9" i="3"/>
  <c r="C10" i="3"/>
  <c r="C11" i="3"/>
  <c r="C12" i="3"/>
  <c r="C13" i="3"/>
  <c r="C14" i="3"/>
  <c r="C15" i="3"/>
  <c r="C16" i="3"/>
  <c r="C17" i="3"/>
  <c r="C18" i="3"/>
  <c r="C19" i="3"/>
  <c r="C20" i="3"/>
  <c r="C21" i="3"/>
  <c r="C22" i="3"/>
  <c r="C23" i="3"/>
  <c r="C24" i="3"/>
  <c r="C25" i="3"/>
  <c r="C26" i="3"/>
  <c r="C27" i="3"/>
  <c r="C28" i="3"/>
  <c r="C29" i="3"/>
  <c r="C30" i="3"/>
  <c r="C31" i="3"/>
  <c r="C32" i="3"/>
  <c r="C33" i="3"/>
  <c r="C34" i="3"/>
  <c r="C35" i="3"/>
  <c r="C36" i="3"/>
  <c r="C37" i="3"/>
  <c r="C38" i="3"/>
  <c r="C39" i="3"/>
  <c r="C40" i="3"/>
  <c r="C41" i="3"/>
  <c r="C7" i="3"/>
  <c r="B48" i="3"/>
  <c r="B49" i="3"/>
  <c r="B50" i="3"/>
  <c r="B51" i="3"/>
  <c r="B52" i="3"/>
  <c r="B53" i="3"/>
  <c r="B54" i="3"/>
  <c r="B55" i="3"/>
  <c r="B56" i="3"/>
  <c r="B57" i="3"/>
  <c r="B58" i="3"/>
  <c r="B59" i="3"/>
  <c r="B60" i="3"/>
  <c r="B61" i="3"/>
  <c r="B62" i="3"/>
  <c r="B63" i="3"/>
  <c r="B64" i="3"/>
  <c r="B65" i="3"/>
  <c r="B66" i="3"/>
  <c r="B67" i="3"/>
  <c r="B68" i="3"/>
  <c r="B69" i="3"/>
  <c r="B70" i="3"/>
  <c r="B71" i="3"/>
  <c r="B72" i="3"/>
  <c r="B73" i="3"/>
  <c r="B74" i="3"/>
  <c r="B75" i="3"/>
  <c r="B76" i="3"/>
  <c r="B77" i="3"/>
  <c r="B78" i="3"/>
  <c r="B79" i="3"/>
  <c r="B80" i="3"/>
  <c r="B81" i="3"/>
  <c r="B47" i="3"/>
  <c r="B46" i="3"/>
  <c r="D26" i="1" l="1"/>
  <c r="J42" i="3"/>
  <c r="F125" i="3"/>
  <c r="E125" i="3"/>
  <c r="C125" i="3"/>
  <c r="B129" i="3"/>
  <c r="B107" i="3"/>
  <c r="K24" i="3" l="1"/>
  <c r="I91" i="3"/>
  <c r="I92" i="3"/>
  <c r="I93" i="3"/>
  <c r="I94" i="3"/>
  <c r="I95" i="3"/>
  <c r="I96" i="3"/>
  <c r="I97" i="3"/>
  <c r="I98" i="3"/>
  <c r="I99" i="3"/>
  <c r="I100" i="3"/>
  <c r="I101" i="3"/>
  <c r="I102" i="3"/>
  <c r="I103" i="3"/>
  <c r="I104" i="3"/>
  <c r="I105" i="3"/>
  <c r="I106" i="3"/>
  <c r="I107" i="3"/>
  <c r="J107" i="3" s="1"/>
  <c r="I108" i="3"/>
  <c r="J108" i="3" s="1"/>
  <c r="I109" i="3"/>
  <c r="I110" i="3"/>
  <c r="I111" i="3"/>
  <c r="J111" i="3" s="1"/>
  <c r="I112" i="3"/>
  <c r="I113" i="3"/>
  <c r="I114" i="3"/>
  <c r="I115" i="3"/>
  <c r="I116" i="3"/>
  <c r="I117" i="3"/>
  <c r="I118" i="3"/>
  <c r="J118" i="3" s="1"/>
  <c r="I119" i="3"/>
  <c r="J119" i="3" s="1"/>
  <c r="I120" i="3"/>
  <c r="I121" i="3"/>
  <c r="J121" i="3" s="1"/>
  <c r="I122" i="3"/>
  <c r="J122" i="3" s="1"/>
  <c r="I123" i="3"/>
  <c r="I124" i="3"/>
  <c r="I90" i="3"/>
  <c r="J90" i="3" s="1"/>
  <c r="B147" i="3"/>
  <c r="C147" i="3"/>
  <c r="B148" i="3"/>
  <c r="C148" i="3"/>
  <c r="B149" i="3"/>
  <c r="C149" i="3"/>
  <c r="B150" i="3"/>
  <c r="C150" i="3"/>
  <c r="B151" i="3"/>
  <c r="C151" i="3"/>
  <c r="B152" i="3"/>
  <c r="C152" i="3"/>
  <c r="B153" i="3"/>
  <c r="C153" i="3"/>
  <c r="B154" i="3"/>
  <c r="C154" i="3"/>
  <c r="B155" i="3"/>
  <c r="C155" i="3"/>
  <c r="B156" i="3"/>
  <c r="C156" i="3"/>
  <c r="B157" i="3"/>
  <c r="C157" i="3"/>
  <c r="B158" i="3"/>
  <c r="C158" i="3"/>
  <c r="B159" i="3"/>
  <c r="C159" i="3"/>
  <c r="B160" i="3"/>
  <c r="C160" i="3"/>
  <c r="B161" i="3"/>
  <c r="C161" i="3"/>
  <c r="B162" i="3"/>
  <c r="C162" i="3"/>
  <c r="B163" i="3"/>
  <c r="C163" i="3"/>
  <c r="B164" i="3"/>
  <c r="C164" i="3"/>
  <c r="E147" i="3"/>
  <c r="E148" i="3"/>
  <c r="E149" i="3"/>
  <c r="E150" i="3"/>
  <c r="E151" i="3"/>
  <c r="E152" i="3"/>
  <c r="E153" i="3"/>
  <c r="E154" i="3"/>
  <c r="E155" i="3"/>
  <c r="E156" i="3"/>
  <c r="E157" i="3"/>
  <c r="E158" i="3"/>
  <c r="E159" i="3"/>
  <c r="E160" i="3"/>
  <c r="E161" i="3"/>
  <c r="E162" i="3"/>
  <c r="E163" i="3"/>
  <c r="E164" i="3"/>
  <c r="F107" i="3"/>
  <c r="H107" i="3"/>
  <c r="F108" i="3"/>
  <c r="H108" i="3"/>
  <c r="F109" i="3"/>
  <c r="H109" i="3"/>
  <c r="F110" i="3"/>
  <c r="H110" i="3"/>
  <c r="F111" i="3"/>
  <c r="H111" i="3"/>
  <c r="F112" i="3"/>
  <c r="H112" i="3"/>
  <c r="F113" i="3"/>
  <c r="H113" i="3"/>
  <c r="F114" i="3"/>
  <c r="H114" i="3"/>
  <c r="F115" i="3"/>
  <c r="H115" i="3"/>
  <c r="F116" i="3"/>
  <c r="H116" i="3"/>
  <c r="F117" i="3"/>
  <c r="H117" i="3"/>
  <c r="F118" i="3"/>
  <c r="H118" i="3"/>
  <c r="F119" i="3"/>
  <c r="H119" i="3"/>
  <c r="F120" i="3"/>
  <c r="H120" i="3"/>
  <c r="F121" i="3"/>
  <c r="H121" i="3"/>
  <c r="F122" i="3"/>
  <c r="H122" i="3"/>
  <c r="F123" i="3"/>
  <c r="H123" i="3"/>
  <c r="F124" i="3"/>
  <c r="H124" i="3"/>
  <c r="C107" i="3"/>
  <c r="B108" i="3"/>
  <c r="C108" i="3"/>
  <c r="B109" i="3"/>
  <c r="C109" i="3"/>
  <c r="B110" i="3"/>
  <c r="C110" i="3"/>
  <c r="B111" i="3"/>
  <c r="C111" i="3"/>
  <c r="B112" i="3"/>
  <c r="C112" i="3"/>
  <c r="B113" i="3"/>
  <c r="C113" i="3"/>
  <c r="B114" i="3"/>
  <c r="C114" i="3"/>
  <c r="B115" i="3"/>
  <c r="C115" i="3"/>
  <c r="B116" i="3"/>
  <c r="C116" i="3"/>
  <c r="B117" i="3"/>
  <c r="C117" i="3"/>
  <c r="B118" i="3"/>
  <c r="C118" i="3"/>
  <c r="B119" i="3"/>
  <c r="C119" i="3"/>
  <c r="B120" i="3"/>
  <c r="C120" i="3"/>
  <c r="B121" i="3"/>
  <c r="C121" i="3"/>
  <c r="B122" i="3"/>
  <c r="C122" i="3"/>
  <c r="B123" i="3"/>
  <c r="C123" i="3"/>
  <c r="B124" i="3"/>
  <c r="C124" i="3"/>
  <c r="E63" i="3"/>
  <c r="L24" i="3"/>
  <c r="K25" i="3"/>
  <c r="L25" i="3" s="1"/>
  <c r="K26" i="3"/>
  <c r="L26" i="3"/>
  <c r="M26" i="3"/>
  <c r="K27" i="3"/>
  <c r="L27" i="3" s="1"/>
  <c r="K28" i="3"/>
  <c r="L28" i="3" s="1"/>
  <c r="K29" i="3"/>
  <c r="L29" i="3" s="1"/>
  <c r="K30" i="3"/>
  <c r="L30" i="3"/>
  <c r="M30" i="3"/>
  <c r="K31" i="3"/>
  <c r="M31" i="3" s="1"/>
  <c r="K32" i="3"/>
  <c r="L32" i="3" s="1"/>
  <c r="K33" i="3"/>
  <c r="L33" i="3" s="1"/>
  <c r="E65" i="3"/>
  <c r="E66" i="3"/>
  <c r="E67" i="3"/>
  <c r="E68" i="3"/>
  <c r="E69" i="3"/>
  <c r="E70" i="3"/>
  <c r="E71" i="3"/>
  <c r="E72" i="3"/>
  <c r="E73" i="3"/>
  <c r="E74" i="3"/>
  <c r="E75" i="3"/>
  <c r="E76" i="3"/>
  <c r="E77" i="3"/>
  <c r="E78" i="3"/>
  <c r="E79" i="3"/>
  <c r="E80" i="3"/>
  <c r="E81" i="3"/>
  <c r="E64" i="3"/>
  <c r="J113" i="3" l="1"/>
  <c r="J120" i="3"/>
  <c r="J116" i="3"/>
  <c r="J117" i="3"/>
  <c r="J112" i="3"/>
  <c r="J115" i="3"/>
  <c r="J114" i="3"/>
  <c r="J123" i="3"/>
  <c r="J109" i="3"/>
  <c r="J124" i="3"/>
  <c r="J110" i="3"/>
  <c r="M33" i="3"/>
  <c r="M28" i="3"/>
  <c r="L31" i="3"/>
  <c r="M25" i="3"/>
  <c r="M29" i="3"/>
  <c r="M32" i="3"/>
  <c r="M27" i="3"/>
  <c r="M24" i="3"/>
  <c r="B26" i="1"/>
  <c r="E26" i="1" s="1"/>
  <c r="J24" i="3"/>
  <c r="J25" i="3"/>
  <c r="J26" i="3"/>
  <c r="J27" i="3"/>
  <c r="J28" i="3"/>
  <c r="J29" i="3"/>
  <c r="J30" i="3"/>
  <c r="J31" i="3"/>
  <c r="J32" i="3"/>
  <c r="J33" i="3"/>
  <c r="K34" i="3"/>
  <c r="M34" i="3" s="1"/>
  <c r="K35" i="3"/>
  <c r="L35" i="3" s="1"/>
  <c r="K36" i="3"/>
  <c r="L36" i="3" s="1"/>
  <c r="K37" i="3"/>
  <c r="M37" i="3" s="1"/>
  <c r="K38" i="3"/>
  <c r="K39" i="3"/>
  <c r="M39" i="3" s="1"/>
  <c r="K40" i="3"/>
  <c r="L40" i="3" s="1"/>
  <c r="K41" i="3"/>
  <c r="M41" i="3" s="1"/>
  <c r="J34" i="3"/>
  <c r="J35" i="3"/>
  <c r="J36" i="3"/>
  <c r="J37" i="3"/>
  <c r="J38" i="3"/>
  <c r="J39" i="3"/>
  <c r="J40" i="3"/>
  <c r="J41" i="3"/>
  <c r="D2" i="1"/>
  <c r="B131" i="3"/>
  <c r="C131" i="3"/>
  <c r="B132" i="3"/>
  <c r="C132" i="3"/>
  <c r="B133" i="3"/>
  <c r="C133" i="3"/>
  <c r="B134" i="3"/>
  <c r="C134" i="3"/>
  <c r="B135" i="3"/>
  <c r="C135" i="3"/>
  <c r="B136" i="3"/>
  <c r="C136" i="3"/>
  <c r="B137" i="3"/>
  <c r="C137" i="3"/>
  <c r="B138" i="3"/>
  <c r="C138" i="3"/>
  <c r="B139" i="3"/>
  <c r="C139" i="3"/>
  <c r="B140" i="3"/>
  <c r="C140" i="3"/>
  <c r="B141" i="3"/>
  <c r="C141" i="3"/>
  <c r="B142" i="3"/>
  <c r="C142" i="3"/>
  <c r="B143" i="3"/>
  <c r="C143" i="3"/>
  <c r="B144" i="3"/>
  <c r="C144" i="3"/>
  <c r="B145" i="3"/>
  <c r="C145" i="3"/>
  <c r="B146" i="3"/>
  <c r="C146" i="3"/>
  <c r="C130" i="3"/>
  <c r="B130" i="3"/>
  <c r="B101" i="3"/>
  <c r="C101" i="3"/>
  <c r="B102" i="3"/>
  <c r="C102" i="3"/>
  <c r="B103" i="3"/>
  <c r="C103" i="3"/>
  <c r="B104" i="3"/>
  <c r="C104" i="3"/>
  <c r="B105" i="3"/>
  <c r="C105" i="3"/>
  <c r="B106" i="3"/>
  <c r="C106" i="3"/>
  <c r="B91" i="3"/>
  <c r="C91" i="3"/>
  <c r="B92" i="3"/>
  <c r="C92" i="3"/>
  <c r="B93" i="3"/>
  <c r="C93" i="3"/>
  <c r="B94" i="3"/>
  <c r="C94" i="3"/>
  <c r="B95" i="3"/>
  <c r="C95" i="3"/>
  <c r="B96" i="3"/>
  <c r="C96" i="3"/>
  <c r="B97" i="3"/>
  <c r="C97" i="3"/>
  <c r="B98" i="3"/>
  <c r="C98" i="3"/>
  <c r="B99" i="3"/>
  <c r="C99" i="3"/>
  <c r="B100" i="3"/>
  <c r="C100" i="3"/>
  <c r="C90" i="3"/>
  <c r="B90" i="3"/>
  <c r="J7" i="3"/>
  <c r="E47" i="3"/>
  <c r="F44" i="3"/>
  <c r="G7" i="3" s="1"/>
  <c r="E43" i="5"/>
  <c r="L38" i="3" l="1"/>
  <c r="B6" i="1" a="1"/>
  <c r="B6" i="1" s="1"/>
  <c r="G32" i="3"/>
  <c r="G31" i="3"/>
  <c r="G24" i="3"/>
  <c r="G27" i="3"/>
  <c r="G25" i="3"/>
  <c r="G30" i="3"/>
  <c r="G33" i="3"/>
  <c r="G28" i="3"/>
  <c r="G26" i="3"/>
  <c r="G29" i="3"/>
  <c r="L41" i="3"/>
  <c r="M40" i="3"/>
  <c r="L39" i="3"/>
  <c r="C26" i="1"/>
  <c r="G26" i="1"/>
  <c r="F26" i="1"/>
  <c r="G39" i="3"/>
  <c r="M36" i="3"/>
  <c r="L37" i="3"/>
  <c r="L34" i="3"/>
  <c r="G38" i="3"/>
  <c r="G37" i="3"/>
  <c r="M38" i="3"/>
  <c r="G36" i="3"/>
  <c r="G35" i="3"/>
  <c r="G41" i="3"/>
  <c r="G34" i="3"/>
  <c r="M35" i="3"/>
  <c r="G40" i="3"/>
  <c r="H2" i="1"/>
  <c r="E48" i="3"/>
  <c r="E49" i="3"/>
  <c r="E50" i="3"/>
  <c r="E51" i="3"/>
  <c r="E52" i="3"/>
  <c r="E53" i="3"/>
  <c r="E54" i="3"/>
  <c r="E55" i="3"/>
  <c r="E56" i="3"/>
  <c r="E57" i="3"/>
  <c r="E58" i="3"/>
  <c r="E59" i="3"/>
  <c r="E60" i="3"/>
  <c r="E61" i="3"/>
  <c r="E62" i="3"/>
  <c r="J9" i="3"/>
  <c r="J16" i="3"/>
  <c r="H42" i="3"/>
  <c r="J14" i="3"/>
  <c r="J15" i="3"/>
  <c r="J13" i="3"/>
  <c r="J12" i="3"/>
  <c r="J11" i="3"/>
  <c r="J10" i="3"/>
  <c r="J8" i="3"/>
  <c r="J17" i="3" l="1"/>
  <c r="H44" i="3"/>
  <c r="I127" i="3" l="1"/>
  <c r="C43" i="5"/>
  <c r="F91" i="3" l="1"/>
  <c r="H91" i="3"/>
  <c r="F92" i="3"/>
  <c r="H92" i="3"/>
  <c r="F93" i="3"/>
  <c r="H93" i="3"/>
  <c r="F94" i="3"/>
  <c r="H94" i="3"/>
  <c r="F95" i="3"/>
  <c r="H95" i="3"/>
  <c r="F96" i="3"/>
  <c r="H96" i="3"/>
  <c r="F97" i="3"/>
  <c r="H97" i="3"/>
  <c r="F98" i="3"/>
  <c r="H98" i="3"/>
  <c r="F99" i="3"/>
  <c r="H99" i="3"/>
  <c r="F100" i="3"/>
  <c r="H100" i="3"/>
  <c r="F101" i="3"/>
  <c r="H101" i="3"/>
  <c r="F102" i="3"/>
  <c r="H102" i="3"/>
  <c r="F103" i="3"/>
  <c r="H103" i="3"/>
  <c r="F104" i="3"/>
  <c r="H104" i="3"/>
  <c r="F105" i="3"/>
  <c r="H105" i="3"/>
  <c r="F106" i="3"/>
  <c r="H106" i="3"/>
  <c r="E137" i="3" l="1"/>
  <c r="E142" i="3"/>
  <c r="E134" i="3"/>
  <c r="E133" i="3"/>
  <c r="E146" i="3"/>
  <c r="E145" i="3"/>
  <c r="E138" i="3"/>
  <c r="E141" i="3"/>
  <c r="J101" i="3"/>
  <c r="E144" i="3"/>
  <c r="E140" i="3"/>
  <c r="E136" i="3"/>
  <c r="E132" i="3"/>
  <c r="E143" i="3"/>
  <c r="E139" i="3"/>
  <c r="E135" i="3"/>
  <c r="E131" i="3"/>
  <c r="J96" i="3" l="1"/>
  <c r="J94" i="3"/>
  <c r="J92" i="3"/>
  <c r="J106" i="3"/>
  <c r="J102" i="3"/>
  <c r="J104" i="3"/>
  <c r="J103" i="3"/>
  <c r="J100" i="3"/>
  <c r="J99" i="3"/>
  <c r="J95" i="3"/>
  <c r="J19" i="3"/>
  <c r="J22" i="3"/>
  <c r="J105" i="3"/>
  <c r="J18" i="3"/>
  <c r="J97" i="3"/>
  <c r="J93" i="3"/>
  <c r="J20" i="3"/>
  <c r="J91" i="3"/>
  <c r="J23" i="3"/>
  <c r="J98" i="3"/>
  <c r="J21" i="3"/>
  <c r="G15" i="3"/>
  <c r="G11" i="3"/>
  <c r="G14" i="3"/>
  <c r="G23" i="3"/>
  <c r="G21" i="3"/>
  <c r="G17" i="3"/>
  <c r="G13" i="3"/>
  <c r="G9" i="3"/>
  <c r="G22" i="3"/>
  <c r="G19" i="3"/>
  <c r="G42" i="3"/>
  <c r="G18" i="3"/>
  <c r="G10" i="3"/>
  <c r="G20" i="3"/>
  <c r="G16" i="3"/>
  <c r="G12" i="3"/>
  <c r="G8" i="3"/>
  <c r="H125" i="3"/>
  <c r="J125" i="3" l="1"/>
  <c r="I61" i="1"/>
  <c r="F90" i="3" l="1"/>
  <c r="F127" i="3" s="1"/>
  <c r="G90" i="3" l="1"/>
  <c r="G117" i="3"/>
  <c r="G118" i="3"/>
  <c r="G120" i="3"/>
  <c r="G112" i="3"/>
  <c r="G113" i="3"/>
  <c r="G122" i="3"/>
  <c r="G108" i="3"/>
  <c r="G115" i="3"/>
  <c r="G116" i="3"/>
  <c r="G119" i="3"/>
  <c r="G123" i="3"/>
  <c r="G121" i="3"/>
  <c r="G111" i="3"/>
  <c r="G107" i="3"/>
  <c r="G109" i="3"/>
  <c r="G110" i="3"/>
  <c r="G114" i="3"/>
  <c r="G124" i="3"/>
  <c r="G125" i="3"/>
  <c r="H90" i="3"/>
  <c r="E130" i="3" l="1"/>
  <c r="G92" i="3"/>
  <c r="G96" i="3"/>
  <c r="G100" i="3"/>
  <c r="G104" i="3"/>
  <c r="G93" i="3"/>
  <c r="G97" i="3"/>
  <c r="G101" i="3"/>
  <c r="G105" i="3"/>
  <c r="G102" i="3"/>
  <c r="G103" i="3"/>
  <c r="G94" i="3"/>
  <c r="G98" i="3"/>
  <c r="G99" i="3"/>
  <c r="G95" i="3"/>
  <c r="G106" i="3"/>
  <c r="G91" i="3"/>
  <c r="H127" i="3"/>
  <c r="G44" i="3"/>
  <c r="J128" i="3" l="1"/>
  <c r="J127" i="3"/>
  <c r="I44" i="3"/>
  <c r="J45" i="3" l="1"/>
  <c r="J44" i="3"/>
  <c r="G127" i="3" l="1"/>
  <c r="K23" i="3" l="1"/>
  <c r="K16" i="3"/>
  <c r="K20" i="3"/>
  <c r="K12" i="3"/>
  <c r="K10" i="3"/>
  <c r="K14" i="3"/>
  <c r="K18" i="3"/>
  <c r="K9" i="3"/>
  <c r="K19" i="3"/>
  <c r="K15" i="3"/>
  <c r="K17" i="3"/>
  <c r="K13" i="3"/>
  <c r="K8" i="3"/>
  <c r="K21" i="3"/>
  <c r="K22" i="3"/>
  <c r="K11" i="3"/>
  <c r="M22" i="3" l="1"/>
  <c r="L22" i="3"/>
  <c r="M8" i="3"/>
  <c r="L8" i="3"/>
  <c r="L14" i="3"/>
  <c r="M14" i="3"/>
  <c r="L13" i="3"/>
  <c r="M13" i="3"/>
  <c r="M9" i="3"/>
  <c r="L9" i="3"/>
  <c r="M16" i="3"/>
  <c r="L16" i="3"/>
  <c r="M19" i="3"/>
  <c r="L19" i="3"/>
  <c r="M20" i="3"/>
  <c r="L20" i="3"/>
  <c r="K42" i="3"/>
  <c r="M17" i="3"/>
  <c r="L17" i="3"/>
  <c r="M21" i="3"/>
  <c r="L21" i="3"/>
  <c r="M10" i="3"/>
  <c r="L10" i="3"/>
  <c r="L15" i="3"/>
  <c r="M15" i="3"/>
  <c r="M23" i="3"/>
  <c r="L23" i="3"/>
  <c r="L11" i="3"/>
  <c r="M11" i="3"/>
  <c r="M18" i="3"/>
  <c r="L18" i="3"/>
  <c r="M12" i="3"/>
  <c r="L12" i="3"/>
  <c r="B17" i="1" l="1" a="1"/>
  <c r="B17" i="1" s="1"/>
  <c r="B18" i="1" a="1"/>
  <c r="B18" i="1" s="1"/>
  <c r="B83" i="1" s="1"/>
  <c r="B16" i="1" a="1"/>
  <c r="B16" i="1" s="1"/>
  <c r="B15" i="1" a="1"/>
  <c r="B15" i="1" s="1"/>
  <c r="B20" i="1" a="1"/>
  <c r="B20" i="1" s="1"/>
  <c r="B85" i="1" s="1"/>
  <c r="B14" i="1" a="1"/>
  <c r="B14" i="1" s="1"/>
  <c r="B11" i="1" a="1"/>
  <c r="B11" i="1" s="1"/>
  <c r="B25" i="1" a="1"/>
  <c r="B25" i="1" s="1"/>
  <c r="B19" i="1" a="1"/>
  <c r="B19" i="1" s="1"/>
  <c r="B84" i="1" s="1"/>
  <c r="B23" i="1" a="1"/>
  <c r="B23" i="1" s="1"/>
  <c r="B88" i="1" s="1"/>
  <c r="B10" i="1" a="1"/>
  <c r="B10" i="1" s="1"/>
  <c r="B24" i="1" a="1"/>
  <c r="B24" i="1" s="1"/>
  <c r="B89" i="1" s="1"/>
  <c r="B9" i="1" a="1"/>
  <c r="B9" i="1" s="1"/>
  <c r="B13" i="1" a="1"/>
  <c r="B13" i="1" s="1"/>
  <c r="B12" i="1" a="1"/>
  <c r="B12" i="1" s="1"/>
  <c r="B7" i="1" a="1"/>
  <c r="B7" i="1" s="1"/>
  <c r="B22" i="1" a="1"/>
  <c r="B22" i="1" s="1"/>
  <c r="B87" i="1" s="1"/>
  <c r="B21" i="1" a="1"/>
  <c r="B21" i="1" s="1"/>
  <c r="B86" i="1" s="1"/>
  <c r="B8" i="1" a="1"/>
  <c r="B8" i="1" s="1"/>
  <c r="H26" i="1"/>
  <c r="M42" i="3"/>
  <c r="L7" i="3"/>
  <c r="B58" i="1" l="1"/>
  <c r="D58" i="1" s="1"/>
  <c r="B90" i="1"/>
  <c r="B57" i="1"/>
  <c r="D57" i="1" s="1"/>
  <c r="B56" i="1"/>
  <c r="D56" i="1" s="1"/>
  <c r="B54" i="1"/>
  <c r="E54" i="1" s="1"/>
  <c r="B51" i="1"/>
  <c r="E51" i="1" s="1"/>
  <c r="B52" i="1"/>
  <c r="E52" i="1" s="1"/>
  <c r="B53" i="1"/>
  <c r="E53" i="1" s="1"/>
  <c r="B55" i="1"/>
  <c r="D55" i="1" s="1"/>
  <c r="E58" i="1"/>
  <c r="D19" i="1"/>
  <c r="L19" i="1"/>
  <c r="E19" i="1"/>
  <c r="C19" i="1"/>
  <c r="C84" i="1" s="1"/>
  <c r="G19" i="1"/>
  <c r="C11" i="1"/>
  <c r="E11" i="1"/>
  <c r="L11" i="1"/>
  <c r="D11" i="1"/>
  <c r="G11" i="1"/>
  <c r="G76" i="1" s="1"/>
  <c r="E20" i="1"/>
  <c r="D20" i="1"/>
  <c r="L20" i="1"/>
  <c r="C20" i="1"/>
  <c r="C85" i="1" s="1"/>
  <c r="G20" i="1"/>
  <c r="D10" i="1"/>
  <c r="E10" i="1"/>
  <c r="L10" i="1"/>
  <c r="G10" i="1"/>
  <c r="G75" i="1" s="1"/>
  <c r="C10" i="1"/>
  <c r="D6" i="1"/>
  <c r="E6" i="1"/>
  <c r="L6" i="1"/>
  <c r="G6" i="1"/>
  <c r="G71" i="1" s="1"/>
  <c r="C6" i="1"/>
  <c r="C39" i="1" s="1"/>
  <c r="D16" i="1"/>
  <c r="E16" i="1"/>
  <c r="L16" i="1"/>
  <c r="C16" i="1"/>
  <c r="G16" i="1"/>
  <c r="G81" i="1" s="1"/>
  <c r="E14" i="1"/>
  <c r="L14" i="1"/>
  <c r="D14" i="1"/>
  <c r="C14" i="1"/>
  <c r="G14" i="1"/>
  <c r="G79" i="1" s="1"/>
  <c r="L23" i="1"/>
  <c r="E23" i="1"/>
  <c r="D23" i="1"/>
  <c r="C23" i="1"/>
  <c r="C88" i="1" s="1"/>
  <c r="G23" i="1"/>
  <c r="E25" i="1"/>
  <c r="D25" i="1"/>
  <c r="L25" i="1"/>
  <c r="C25" i="1"/>
  <c r="G25" i="1"/>
  <c r="E90" i="1" s="1"/>
  <c r="E8" i="1"/>
  <c r="L8" i="1"/>
  <c r="D8" i="1"/>
  <c r="C8" i="1"/>
  <c r="G8" i="1"/>
  <c r="G73" i="1" s="1"/>
  <c r="C21" i="1"/>
  <c r="C86" i="1" s="1"/>
  <c r="L21" i="1"/>
  <c r="E21" i="1"/>
  <c r="D21" i="1"/>
  <c r="G21" i="1"/>
  <c r="L22" i="1"/>
  <c r="D22" i="1"/>
  <c r="E22" i="1"/>
  <c r="G22" i="1"/>
  <c r="C22" i="1"/>
  <c r="C87" i="1" s="1"/>
  <c r="C12" i="1"/>
  <c r="E12" i="1"/>
  <c r="L12" i="1"/>
  <c r="D12" i="1"/>
  <c r="G12" i="1"/>
  <c r="G77" i="1" s="1"/>
  <c r="E9" i="1"/>
  <c r="D9" i="1"/>
  <c r="L9" i="1"/>
  <c r="G9" i="1"/>
  <c r="G74" i="1" s="1"/>
  <c r="C9" i="1"/>
  <c r="D15" i="1"/>
  <c r="E15" i="1"/>
  <c r="L15" i="1"/>
  <c r="C15" i="1"/>
  <c r="G15" i="1"/>
  <c r="G80" i="1" s="1"/>
  <c r="L7" i="1"/>
  <c r="D7" i="1"/>
  <c r="E7" i="1"/>
  <c r="C7" i="1"/>
  <c r="G7" i="1"/>
  <c r="G72" i="1" s="1"/>
  <c r="G18" i="1"/>
  <c r="D18" i="1"/>
  <c r="H18" i="1" s="1"/>
  <c r="L18" i="1"/>
  <c r="E18" i="1"/>
  <c r="C18" i="1"/>
  <c r="C83" i="1" s="1"/>
  <c r="D13" i="1"/>
  <c r="E13" i="1"/>
  <c r="L13" i="1"/>
  <c r="G13" i="1"/>
  <c r="G78" i="1" s="1"/>
  <c r="C13" i="1"/>
  <c r="G17" i="1"/>
  <c r="G82" i="1" s="1"/>
  <c r="L17" i="1"/>
  <c r="E17" i="1"/>
  <c r="D17" i="1"/>
  <c r="C17" i="1"/>
  <c r="L24" i="1"/>
  <c r="D24" i="1"/>
  <c r="E24" i="1"/>
  <c r="C24" i="1"/>
  <c r="C89" i="1" s="1"/>
  <c r="G24" i="1"/>
  <c r="B71" i="1"/>
  <c r="B39" i="1"/>
  <c r="B47" i="1"/>
  <c r="B79" i="1"/>
  <c r="B78" i="1"/>
  <c r="B46" i="1"/>
  <c r="B42" i="1"/>
  <c r="B74" i="1"/>
  <c r="B41" i="1"/>
  <c r="B73" i="1"/>
  <c r="B43" i="1"/>
  <c r="B75" i="1"/>
  <c r="B49" i="1"/>
  <c r="B81" i="1"/>
  <c r="B80" i="1"/>
  <c r="B48" i="1"/>
  <c r="B76" i="1"/>
  <c r="B44" i="1"/>
  <c r="B45" i="1"/>
  <c r="B77" i="1"/>
  <c r="B82" i="1"/>
  <c r="B50" i="1"/>
  <c r="B72" i="1"/>
  <c r="B40" i="1"/>
  <c r="M44" i="3"/>
  <c r="E56" i="1" l="1"/>
  <c r="F56" i="1" s="1"/>
  <c r="E57" i="1"/>
  <c r="F57" i="1" s="1"/>
  <c r="F12" i="1"/>
  <c r="G52" i="1"/>
  <c r="G84" i="1"/>
  <c r="E84" i="1"/>
  <c r="G55" i="1"/>
  <c r="H55" i="1" s="1"/>
  <c r="E87" i="1"/>
  <c r="G87" i="1"/>
  <c r="G58" i="1"/>
  <c r="H58" i="1" s="1"/>
  <c r="G90" i="1"/>
  <c r="G51" i="1"/>
  <c r="G83" i="1"/>
  <c r="E83" i="1"/>
  <c r="G53" i="1"/>
  <c r="E85" i="1"/>
  <c r="G85" i="1"/>
  <c r="G88" i="1"/>
  <c r="E88" i="1"/>
  <c r="D54" i="1"/>
  <c r="F54" i="1" s="1"/>
  <c r="G57" i="1"/>
  <c r="H57" i="1" s="1"/>
  <c r="E89" i="1"/>
  <c r="G89" i="1"/>
  <c r="G54" i="1"/>
  <c r="E86" i="1"/>
  <c r="G86" i="1"/>
  <c r="C58" i="1"/>
  <c r="C90" i="1"/>
  <c r="D52" i="1"/>
  <c r="D53" i="1"/>
  <c r="F53" i="1" s="1"/>
  <c r="J6" i="1"/>
  <c r="C57" i="1"/>
  <c r="C51" i="1"/>
  <c r="C56" i="1"/>
  <c r="C53" i="1"/>
  <c r="C54" i="1"/>
  <c r="E55" i="1"/>
  <c r="F55" i="1" s="1"/>
  <c r="C55" i="1"/>
  <c r="C52" i="1"/>
  <c r="D51" i="1"/>
  <c r="H51" i="1" s="1"/>
  <c r="F58" i="1"/>
  <c r="H23" i="1"/>
  <c r="J23" i="1" s="1"/>
  <c r="G56" i="1"/>
  <c r="H56" i="1" s="1"/>
  <c r="F15" i="1"/>
  <c r="H19" i="1"/>
  <c r="J19" i="1" s="1"/>
  <c r="F14" i="1"/>
  <c r="N13" i="3"/>
  <c r="N27" i="3"/>
  <c r="N30" i="3"/>
  <c r="N33" i="3"/>
  <c r="N25" i="3"/>
  <c r="N28" i="3"/>
  <c r="N31" i="3"/>
  <c r="N29" i="3"/>
  <c r="N26" i="3"/>
  <c r="N32" i="3"/>
  <c r="N24" i="3"/>
  <c r="J12" i="1"/>
  <c r="F9" i="1"/>
  <c r="C71" i="1"/>
  <c r="F23" i="1"/>
  <c r="F11" i="1"/>
  <c r="F6" i="1"/>
  <c r="N18" i="3"/>
  <c r="N9" i="3"/>
  <c r="O9" i="3" s="1"/>
  <c r="E74" i="1"/>
  <c r="G42" i="1"/>
  <c r="H17" i="1"/>
  <c r="F17" i="1"/>
  <c r="G45" i="1"/>
  <c r="E77" i="1"/>
  <c r="C46" i="1"/>
  <c r="C78" i="1"/>
  <c r="C79" i="1"/>
  <c r="C47" i="1"/>
  <c r="C80" i="1"/>
  <c r="C48" i="1"/>
  <c r="H14" i="1"/>
  <c r="E75" i="1"/>
  <c r="G43" i="1"/>
  <c r="J10" i="1"/>
  <c r="J18" i="1"/>
  <c r="F18" i="1"/>
  <c r="C82" i="1"/>
  <c r="C50" i="1"/>
  <c r="H21" i="1"/>
  <c r="J21" i="1" s="1"/>
  <c r="F21" i="1"/>
  <c r="H20" i="1"/>
  <c r="J20" i="1" s="1"/>
  <c r="F20" i="1"/>
  <c r="C40" i="1"/>
  <c r="C72" i="1"/>
  <c r="E76" i="1"/>
  <c r="G44" i="1"/>
  <c r="J11" i="1"/>
  <c r="H12" i="1"/>
  <c r="T13" i="1"/>
  <c r="V12" i="1"/>
  <c r="U14" i="1"/>
  <c r="U15" i="1"/>
  <c r="T14" i="1"/>
  <c r="V13" i="1"/>
  <c r="T15" i="1"/>
  <c r="V14" i="1"/>
  <c r="U13" i="1"/>
  <c r="U12" i="1"/>
  <c r="V15" i="1"/>
  <c r="T12" i="1"/>
  <c r="V11" i="1"/>
  <c r="T11" i="1"/>
  <c r="U11" i="1"/>
  <c r="J9" i="1"/>
  <c r="G50" i="1"/>
  <c r="E82" i="1"/>
  <c r="J17" i="1"/>
  <c r="H7" i="1"/>
  <c r="F7" i="1"/>
  <c r="E73" i="1"/>
  <c r="G41" i="1"/>
  <c r="G48" i="1"/>
  <c r="E80" i="1"/>
  <c r="J15" i="1"/>
  <c r="H8" i="1"/>
  <c r="C75" i="1"/>
  <c r="C43" i="1"/>
  <c r="H13" i="1"/>
  <c r="F13" i="1"/>
  <c r="F24" i="1"/>
  <c r="H24" i="1"/>
  <c r="J24" i="1" s="1"/>
  <c r="F25" i="1"/>
  <c r="H25" i="1"/>
  <c r="J25" i="1" s="1"/>
  <c r="H9" i="1"/>
  <c r="H16" i="1"/>
  <c r="F16" i="1"/>
  <c r="E72" i="1"/>
  <c r="G40" i="1"/>
  <c r="J7" i="1"/>
  <c r="E71" i="1"/>
  <c r="G39" i="1"/>
  <c r="H11" i="1"/>
  <c r="C73" i="1"/>
  <c r="C41" i="1"/>
  <c r="G47" i="1"/>
  <c r="E79" i="1"/>
  <c r="J14" i="1"/>
  <c r="J8" i="1"/>
  <c r="E78" i="1"/>
  <c r="G46" i="1"/>
  <c r="J13" i="1"/>
  <c r="C77" i="1"/>
  <c r="C45" i="1"/>
  <c r="C44" i="1"/>
  <c r="C76" i="1"/>
  <c r="F8" i="1"/>
  <c r="H6" i="1"/>
  <c r="H15" i="1"/>
  <c r="H22" i="1"/>
  <c r="J22" i="1" s="1"/>
  <c r="F22" i="1"/>
  <c r="G49" i="1"/>
  <c r="E81" i="1"/>
  <c r="J16" i="1"/>
  <c r="H10" i="1"/>
  <c r="F10" i="1"/>
  <c r="C74" i="1"/>
  <c r="C42" i="1"/>
  <c r="C81" i="1"/>
  <c r="C49" i="1"/>
  <c r="F19" i="1"/>
  <c r="N14" i="3"/>
  <c r="N39" i="3"/>
  <c r="N40" i="3"/>
  <c r="N38" i="3"/>
  <c r="N35" i="3"/>
  <c r="N36" i="3"/>
  <c r="N41" i="3"/>
  <c r="N34" i="3"/>
  <c r="N37" i="3"/>
  <c r="N8" i="3"/>
  <c r="N19" i="3"/>
  <c r="N21" i="3"/>
  <c r="N23" i="3"/>
  <c r="N16" i="3"/>
  <c r="N22" i="3"/>
  <c r="N17" i="3"/>
  <c r="N20" i="3"/>
  <c r="N11" i="3"/>
  <c r="N10" i="3"/>
  <c r="N42" i="3"/>
  <c r="O42" i="3" s="1"/>
  <c r="N7" i="3"/>
  <c r="N12" i="3"/>
  <c r="N15" i="3"/>
  <c r="O18" i="3"/>
  <c r="H52" i="1" l="1"/>
  <c r="H54" i="1"/>
  <c r="J54" i="1" s="1"/>
  <c r="F52" i="1"/>
  <c r="O36" i="3"/>
  <c r="D159" i="3"/>
  <c r="K119" i="3" s="1"/>
  <c r="O10" i="3"/>
  <c r="D133" i="3"/>
  <c r="O15" i="3"/>
  <c r="D138" i="3"/>
  <c r="K98" i="3" s="1"/>
  <c r="O37" i="3"/>
  <c r="D160" i="3"/>
  <c r="K120" i="3" s="1"/>
  <c r="D135" i="3"/>
  <c r="K95" i="3" s="1"/>
  <c r="O34" i="3"/>
  <c r="D157" i="3"/>
  <c r="K117" i="3" s="1"/>
  <c r="D130" i="3"/>
  <c r="O41" i="3"/>
  <c r="D164" i="3"/>
  <c r="K124" i="3" s="1"/>
  <c r="O27" i="3"/>
  <c r="D150" i="3"/>
  <c r="K110" i="3" s="1"/>
  <c r="D136" i="3"/>
  <c r="K96" i="3" s="1"/>
  <c r="O38" i="3"/>
  <c r="D161" i="3"/>
  <c r="K121" i="3" s="1"/>
  <c r="O40" i="3"/>
  <c r="D163" i="3"/>
  <c r="K123" i="3" s="1"/>
  <c r="O11" i="3"/>
  <c r="D134" i="3"/>
  <c r="K94" i="3" s="1"/>
  <c r="M94" i="3" s="1"/>
  <c r="D143" i="3"/>
  <c r="K103" i="3" s="1"/>
  <c r="O17" i="3"/>
  <c r="D140" i="3"/>
  <c r="K100" i="3" s="1"/>
  <c r="O39" i="3"/>
  <c r="D162" i="3"/>
  <c r="K122" i="3" s="1"/>
  <c r="O24" i="3"/>
  <c r="D147" i="3"/>
  <c r="K107" i="3" s="1"/>
  <c r="O32" i="3"/>
  <c r="D155" i="3"/>
  <c r="K115" i="3" s="1"/>
  <c r="O26" i="3"/>
  <c r="D149" i="3"/>
  <c r="K109" i="3" s="1"/>
  <c r="J56" i="1"/>
  <c r="O29" i="3"/>
  <c r="D152" i="3"/>
  <c r="K112" i="3" s="1"/>
  <c r="O35" i="3"/>
  <c r="D158" i="3"/>
  <c r="K118" i="3" s="1"/>
  <c r="D139" i="3"/>
  <c r="K99" i="3" s="1"/>
  <c r="D146" i="3"/>
  <c r="K106" i="3" s="1"/>
  <c r="D144" i="3"/>
  <c r="K104" i="3" s="1"/>
  <c r="O31" i="3"/>
  <c r="D154" i="3"/>
  <c r="K114" i="3" s="1"/>
  <c r="F51" i="1"/>
  <c r="J51" i="1" s="1"/>
  <c r="O19" i="3"/>
  <c r="D142" i="3"/>
  <c r="K102" i="3" s="1"/>
  <c r="O28" i="3"/>
  <c r="D151" i="3"/>
  <c r="K111" i="3" s="1"/>
  <c r="D145" i="3"/>
  <c r="K105" i="3" s="1"/>
  <c r="O14" i="3"/>
  <c r="D137" i="3"/>
  <c r="K97" i="3" s="1"/>
  <c r="D42" i="1" s="1"/>
  <c r="D131" i="3"/>
  <c r="K91" i="3" s="1"/>
  <c r="D132" i="3"/>
  <c r="K92" i="3" s="1"/>
  <c r="O25" i="3"/>
  <c r="D148" i="3"/>
  <c r="K108" i="3" s="1"/>
  <c r="D141" i="3"/>
  <c r="K101" i="3" s="1"/>
  <c r="L101" i="3" s="1"/>
  <c r="E45" i="1" s="1"/>
  <c r="O33" i="3"/>
  <c r="D156" i="3"/>
  <c r="K116" i="3" s="1"/>
  <c r="O30" i="3"/>
  <c r="D153" i="3"/>
  <c r="K113" i="3" s="1"/>
  <c r="H53" i="1"/>
  <c r="J53" i="1" s="1"/>
  <c r="J57" i="1"/>
  <c r="J58" i="1"/>
  <c r="J55" i="1"/>
  <c r="O13" i="3"/>
  <c r="H28" i="1"/>
  <c r="K9" i="1" s="1"/>
  <c r="T6" i="1" s="1"/>
  <c r="O8" i="3"/>
  <c r="O20" i="3"/>
  <c r="O21" i="3"/>
  <c r="O12" i="3"/>
  <c r="O22" i="3"/>
  <c r="O16" i="3"/>
  <c r="O23" i="3"/>
  <c r="N44" i="3"/>
  <c r="K93" i="3"/>
  <c r="L93" i="3" s="1"/>
  <c r="O7" i="3"/>
  <c r="J52" i="1" l="1"/>
  <c r="O44" i="3"/>
  <c r="K90" i="3"/>
  <c r="D39" i="1" s="1"/>
  <c r="H39" i="1" s="1"/>
  <c r="D47" i="1"/>
  <c r="H47" i="1" s="1"/>
  <c r="M103" i="3"/>
  <c r="D50" i="1"/>
  <c r="H50" i="1" s="1"/>
  <c r="L106" i="3"/>
  <c r="E50" i="1" s="1"/>
  <c r="M106" i="3"/>
  <c r="M92" i="3"/>
  <c r="L92" i="3"/>
  <c r="L91" i="3"/>
  <c r="E40" i="1" s="1"/>
  <c r="D40" i="1"/>
  <c r="H40" i="1" s="1"/>
  <c r="M91" i="3"/>
  <c r="D43" i="1"/>
  <c r="H43" i="1" s="1"/>
  <c r="M99" i="3"/>
  <c r="L99" i="3"/>
  <c r="E43" i="1" s="1"/>
  <c r="D49" i="1"/>
  <c r="H49" i="1" s="1"/>
  <c r="M105" i="3"/>
  <c r="L105" i="3"/>
  <c r="E49" i="1" s="1"/>
  <c r="D41" i="1"/>
  <c r="H41" i="1" s="1"/>
  <c r="M95" i="3"/>
  <c r="L95" i="3"/>
  <c r="D46" i="1"/>
  <c r="H46" i="1" s="1"/>
  <c r="M96" i="3"/>
  <c r="L96" i="3"/>
  <c r="D48" i="1"/>
  <c r="H48" i="1" s="1"/>
  <c r="M104" i="3"/>
  <c r="L104" i="3"/>
  <c r="E48" i="1" s="1"/>
  <c r="L117" i="3"/>
  <c r="M117" i="3"/>
  <c r="M121" i="3"/>
  <c r="L121" i="3"/>
  <c r="L120" i="3"/>
  <c r="M120" i="3"/>
  <c r="L107" i="3"/>
  <c r="M107" i="3"/>
  <c r="M101" i="3"/>
  <c r="D45" i="1"/>
  <c r="H45" i="1" s="1"/>
  <c r="L114" i="3"/>
  <c r="M114" i="3"/>
  <c r="L115" i="3"/>
  <c r="M115" i="3"/>
  <c r="L113" i="3"/>
  <c r="M113" i="3"/>
  <c r="L122" i="3"/>
  <c r="M122" i="3"/>
  <c r="M108" i="3"/>
  <c r="L108" i="3"/>
  <c r="L109" i="3"/>
  <c r="M109" i="3"/>
  <c r="M110" i="3"/>
  <c r="L110" i="3"/>
  <c r="M112" i="3"/>
  <c r="L112" i="3"/>
  <c r="L103" i="3"/>
  <c r="E47" i="1" s="1"/>
  <c r="M100" i="3"/>
  <c r="D44" i="1"/>
  <c r="H44" i="1" s="1"/>
  <c r="M116" i="3"/>
  <c r="L116" i="3"/>
  <c r="M111" i="3"/>
  <c r="L111" i="3"/>
  <c r="L119" i="3"/>
  <c r="M119" i="3"/>
  <c r="L123" i="3"/>
  <c r="M123" i="3"/>
  <c r="L118" i="3"/>
  <c r="M118" i="3"/>
  <c r="M124" i="3"/>
  <c r="L124" i="3"/>
  <c r="K13" i="1"/>
  <c r="J78" i="1" s="1"/>
  <c r="K11" i="1"/>
  <c r="J76" i="1" s="1"/>
  <c r="K10" i="1"/>
  <c r="J75" i="1" s="1"/>
  <c r="K20" i="1"/>
  <c r="K15" i="1"/>
  <c r="L48" i="1" s="1"/>
  <c r="K21" i="1"/>
  <c r="K14" i="1"/>
  <c r="T16" i="1" s="1"/>
  <c r="K7" i="1"/>
  <c r="L40" i="1" s="1"/>
  <c r="K12" i="1"/>
  <c r="L45" i="1" s="1"/>
  <c r="K8" i="1"/>
  <c r="L41" i="1" s="1"/>
  <c r="K18" i="1"/>
  <c r="L102" i="3"/>
  <c r="M102" i="3"/>
  <c r="K25" i="1"/>
  <c r="K19" i="1"/>
  <c r="K16" i="1"/>
  <c r="K23" i="1"/>
  <c r="J28" i="1"/>
  <c r="K6" i="1"/>
  <c r="K24" i="1"/>
  <c r="J29" i="1"/>
  <c r="K26" i="1"/>
  <c r="L59" i="1" s="1"/>
  <c r="K22" i="1"/>
  <c r="K17" i="1"/>
  <c r="L98" i="3"/>
  <c r="M97" i="3"/>
  <c r="L97" i="3"/>
  <c r="E42" i="1" s="1"/>
  <c r="M93" i="3"/>
  <c r="H42" i="1"/>
  <c r="L94" i="3"/>
  <c r="L100" i="3"/>
  <c r="E44" i="1" s="1"/>
  <c r="M98" i="3"/>
  <c r="K125" i="3"/>
  <c r="L42" i="1"/>
  <c r="J74" i="1"/>
  <c r="M90" i="3" l="1"/>
  <c r="L90" i="3"/>
  <c r="E39" i="1" s="1"/>
  <c r="F39" i="1" s="1"/>
  <c r="J39" i="1" s="1"/>
  <c r="F47" i="1"/>
  <c r="J47" i="1" s="1"/>
  <c r="L43" i="1"/>
  <c r="F50" i="1"/>
  <c r="J50" i="1" s="1"/>
  <c r="F45" i="1"/>
  <c r="J45" i="1" s="1"/>
  <c r="L56" i="1"/>
  <c r="J88" i="1"/>
  <c r="F40" i="1"/>
  <c r="J40" i="1" s="1"/>
  <c r="F49" i="1"/>
  <c r="J49" i="1" s="1"/>
  <c r="L58" i="1"/>
  <c r="J90" i="1"/>
  <c r="E46" i="1"/>
  <c r="F46" i="1" s="1"/>
  <c r="J46" i="1" s="1"/>
  <c r="L55" i="1"/>
  <c r="J87" i="1"/>
  <c r="M125" i="3"/>
  <c r="D59" i="1"/>
  <c r="H59" i="1" s="1"/>
  <c r="H61" i="1" s="1"/>
  <c r="J61" i="1" s="1"/>
  <c r="L53" i="1"/>
  <c r="J85" i="1"/>
  <c r="E41" i="1"/>
  <c r="F41" i="1" s="1"/>
  <c r="J41" i="1" s="1"/>
  <c r="D90" i="1" a="1"/>
  <c r="D90" i="1" s="1"/>
  <c r="D83" i="1" a="1"/>
  <c r="D83" i="1" s="1"/>
  <c r="D87" i="1" a="1"/>
  <c r="D87" i="1" s="1"/>
  <c r="D88" i="1" a="1"/>
  <c r="D88" i="1" s="1"/>
  <c r="D89" i="1" a="1"/>
  <c r="D89" i="1" s="1"/>
  <c r="D86" i="1" a="1"/>
  <c r="D86" i="1" s="1"/>
  <c r="D85" i="1" a="1"/>
  <c r="D85" i="1" s="1"/>
  <c r="D84" i="1" a="1"/>
  <c r="D84" i="1" s="1"/>
  <c r="L52" i="1"/>
  <c r="J84" i="1"/>
  <c r="F48" i="1"/>
  <c r="J48" i="1" s="1"/>
  <c r="L51" i="1"/>
  <c r="J83" i="1"/>
  <c r="L57" i="1"/>
  <c r="J89" i="1"/>
  <c r="L54" i="1"/>
  <c r="J86" i="1"/>
  <c r="J72" i="1"/>
  <c r="L44" i="1"/>
  <c r="L46" i="1"/>
  <c r="T10" i="1"/>
  <c r="J77" i="1"/>
  <c r="J80" i="1"/>
  <c r="J79" i="1"/>
  <c r="T8" i="1"/>
  <c r="L47" i="1"/>
  <c r="T9" i="1"/>
  <c r="J73" i="1"/>
  <c r="T17" i="1"/>
  <c r="J91" i="1"/>
  <c r="J82" i="1"/>
  <c r="L50" i="1"/>
  <c r="D82" i="1" a="1"/>
  <c r="D82" i="1" s="1"/>
  <c r="D75" i="1" a="1"/>
  <c r="D75" i="1" s="1"/>
  <c r="D76" i="1" a="1"/>
  <c r="D76" i="1" s="1"/>
  <c r="D78" i="1" a="1"/>
  <c r="D78" i="1" s="1"/>
  <c r="D79" i="1" a="1"/>
  <c r="D79" i="1" s="1"/>
  <c r="D80" i="1" a="1"/>
  <c r="D80" i="1" s="1"/>
  <c r="D72" i="1" a="1"/>
  <c r="D72" i="1" s="1"/>
  <c r="D71" i="1" a="1"/>
  <c r="D71" i="1" s="1"/>
  <c r="D74" i="1" a="1"/>
  <c r="D74" i="1" s="1"/>
  <c r="D81" i="1" a="1"/>
  <c r="D81" i="1" s="1"/>
  <c r="D73" i="1" a="1"/>
  <c r="D73" i="1" s="1"/>
  <c r="D77" i="1" a="1"/>
  <c r="D77" i="1" s="1"/>
  <c r="L39" i="1"/>
  <c r="J71" i="1"/>
  <c r="K28" i="1"/>
  <c r="J81" i="1"/>
  <c r="L49" i="1"/>
  <c r="T7" i="1"/>
  <c r="F43" i="1"/>
  <c r="J43" i="1" s="1"/>
  <c r="F44" i="1"/>
  <c r="J44" i="1" s="1"/>
  <c r="F42" i="1"/>
  <c r="J42" i="1" s="1"/>
  <c r="M127" i="3" l="1"/>
  <c r="N90" i="3" s="1"/>
  <c r="W6" i="1" a="1"/>
  <c r="W6" i="1" s="1"/>
  <c r="X6" i="1" s="1" a="1"/>
  <c r="X6" i="1" s="1"/>
  <c r="F72" i="1"/>
  <c r="H72" i="1"/>
  <c r="F71" i="1"/>
  <c r="H71" i="1"/>
  <c r="D91" i="1" a="1"/>
  <c r="D91" i="1" s="1"/>
  <c r="H79" i="1"/>
  <c r="F79" i="1"/>
  <c r="H85" i="1"/>
  <c r="F85" i="1"/>
  <c r="F86" i="1"/>
  <c r="H86" i="1"/>
  <c r="H87" i="1"/>
  <c r="F87" i="1"/>
  <c r="F78" i="1"/>
  <c r="H78" i="1"/>
  <c r="F75" i="1"/>
  <c r="H75" i="1"/>
  <c r="H88" i="1"/>
  <c r="F88" i="1"/>
  <c r="F83" i="1"/>
  <c r="H83" i="1"/>
  <c r="F90" i="1"/>
  <c r="H90" i="1"/>
  <c r="H84" i="1"/>
  <c r="F84" i="1"/>
  <c r="F82" i="1"/>
  <c r="H82" i="1"/>
  <c r="F81" i="1"/>
  <c r="H81" i="1"/>
  <c r="H80" i="1"/>
  <c r="F80" i="1"/>
  <c r="F76" i="1"/>
  <c r="H76" i="1"/>
  <c r="F89" i="1"/>
  <c r="H89" i="1"/>
  <c r="H77" i="1"/>
  <c r="F77" i="1"/>
  <c r="F73" i="1"/>
  <c r="H73" i="1"/>
  <c r="F74" i="1"/>
  <c r="H74" i="1"/>
  <c r="K54" i="1"/>
  <c r="M54" i="1" s="1"/>
  <c r="K51" i="1"/>
  <c r="M51" i="1" s="1"/>
  <c r="K55" i="1"/>
  <c r="M55" i="1" s="1"/>
  <c r="K39" i="1"/>
  <c r="M39" i="1" s="1"/>
  <c r="K53" i="1"/>
  <c r="M53" i="1" s="1"/>
  <c r="K58" i="1"/>
  <c r="M58" i="1" s="1"/>
  <c r="K52" i="1"/>
  <c r="M52" i="1" s="1"/>
  <c r="K56" i="1"/>
  <c r="M56" i="1" s="1"/>
  <c r="K57" i="1"/>
  <c r="M57" i="1" s="1"/>
  <c r="L61" i="1"/>
  <c r="J93" i="1"/>
  <c r="W16" i="1" a="1"/>
  <c r="W16" i="1" s="1"/>
  <c r="W11" i="1" a="1"/>
  <c r="W11" i="1" s="1"/>
  <c r="X11" i="1" s="1" a="1"/>
  <c r="X11" i="1" s="1"/>
  <c r="W15" i="1" a="1"/>
  <c r="W15" i="1" s="1"/>
  <c r="W10" i="1" a="1"/>
  <c r="W10" i="1" s="1"/>
  <c r="X10" i="1" s="1" a="1"/>
  <c r="X10" i="1" s="1"/>
  <c r="W7" i="1" a="1"/>
  <c r="W7" i="1" s="1"/>
  <c r="X7" i="1" s="1" a="1"/>
  <c r="X7" i="1" s="1"/>
  <c r="W17" i="1" a="1"/>
  <c r="W17" i="1" s="1"/>
  <c r="W8" i="1" a="1"/>
  <c r="W8" i="1" s="1"/>
  <c r="X8" i="1" s="1" a="1"/>
  <c r="X8" i="1" s="1"/>
  <c r="W12" i="1" a="1"/>
  <c r="W12" i="1" s="1"/>
  <c r="X12" i="1" s="1" a="1"/>
  <c r="X12" i="1" s="1"/>
  <c r="W13" i="1" a="1"/>
  <c r="W13" i="1" s="1"/>
  <c r="W14" i="1" a="1"/>
  <c r="W14" i="1" s="1"/>
  <c r="W9" i="1" a="1"/>
  <c r="W9" i="1" s="1"/>
  <c r="X9" i="1" s="1" a="1"/>
  <c r="X9" i="1" s="1"/>
  <c r="K49" i="1"/>
  <c r="M49" i="1" s="1"/>
  <c r="K50" i="1"/>
  <c r="M50" i="1" s="1"/>
  <c r="K59" i="1"/>
  <c r="M59" i="1" s="1"/>
  <c r="K44" i="1"/>
  <c r="M44" i="1" s="1"/>
  <c r="K48" i="1"/>
  <c r="K47" i="1"/>
  <c r="M47" i="1" s="1"/>
  <c r="K41" i="1"/>
  <c r="K40" i="1"/>
  <c r="M40" i="1" s="1"/>
  <c r="K46" i="1"/>
  <c r="M46" i="1" s="1"/>
  <c r="K43" i="1"/>
  <c r="K45" i="1"/>
  <c r="K42" i="1"/>
  <c r="N102" i="3" l="1"/>
  <c r="O102" i="3" s="1"/>
  <c r="N114" i="3"/>
  <c r="O114" i="3" s="1"/>
  <c r="N98" i="3"/>
  <c r="O98" i="3" s="1"/>
  <c r="N107" i="3"/>
  <c r="O107" i="3" s="1"/>
  <c r="N105" i="3"/>
  <c r="O105" i="3" s="1"/>
  <c r="N116" i="3"/>
  <c r="O116" i="3" s="1"/>
  <c r="N99" i="3"/>
  <c r="O99" i="3" s="1"/>
  <c r="N122" i="3"/>
  <c r="O122" i="3" s="1"/>
  <c r="N94" i="3"/>
  <c r="O94" i="3" s="1"/>
  <c r="N117" i="3"/>
  <c r="O117" i="3" s="1"/>
  <c r="N112" i="3"/>
  <c r="O112" i="3" s="1"/>
  <c r="N121" i="3"/>
  <c r="O121" i="3" s="1"/>
  <c r="N97" i="3"/>
  <c r="O97" i="3" s="1"/>
  <c r="N101" i="3"/>
  <c r="O101" i="3" s="1"/>
  <c r="N124" i="3"/>
  <c r="O124" i="3" s="1"/>
  <c r="N125" i="3"/>
  <c r="O125" i="3" s="1"/>
  <c r="N119" i="3"/>
  <c r="O119" i="3" s="1"/>
  <c r="N123" i="3"/>
  <c r="O123" i="3" s="1"/>
  <c r="N109" i="3"/>
  <c r="O109" i="3" s="1"/>
  <c r="N115" i="3"/>
  <c r="O115" i="3" s="1"/>
  <c r="N108" i="3"/>
  <c r="O108" i="3" s="1"/>
  <c r="N104" i="3"/>
  <c r="O104" i="3" s="1"/>
  <c r="N100" i="3"/>
  <c r="O100" i="3" s="1"/>
  <c r="N120" i="3"/>
  <c r="O120" i="3" s="1"/>
  <c r="N103" i="3"/>
  <c r="O103" i="3" s="1"/>
  <c r="N118" i="3"/>
  <c r="O118" i="3" s="1"/>
  <c r="N91" i="3"/>
  <c r="O91" i="3" s="1"/>
  <c r="N110" i="3"/>
  <c r="O110" i="3" s="1"/>
  <c r="N106" i="3"/>
  <c r="O106" i="3" s="1"/>
  <c r="N96" i="3"/>
  <c r="O96" i="3" s="1"/>
  <c r="N113" i="3"/>
  <c r="O113" i="3" s="1"/>
  <c r="N93" i="3"/>
  <c r="O93" i="3" s="1"/>
  <c r="N92" i="3"/>
  <c r="O92" i="3" s="1"/>
  <c r="N95" i="3"/>
  <c r="O95" i="3" s="1"/>
  <c r="N111" i="3"/>
  <c r="O111" i="3" s="1"/>
  <c r="M48" i="1"/>
  <c r="U7" i="1"/>
  <c r="Y6" i="1" s="1" a="1"/>
  <c r="Y6" i="1" s="1"/>
  <c r="X13" i="1" a="1"/>
  <c r="X13" i="1" s="1"/>
  <c r="Y13" i="1" a="1"/>
  <c r="Y13" i="1" s="1"/>
  <c r="X17" i="1" a="1"/>
  <c r="X17" i="1" s="1"/>
  <c r="Y17" i="1" a="1"/>
  <c r="Y17" i="1" s="1"/>
  <c r="X14" i="1" a="1"/>
  <c r="X14" i="1" s="1"/>
  <c r="Y14" i="1" a="1"/>
  <c r="Y14" i="1" s="1"/>
  <c r="X15" i="1" a="1"/>
  <c r="X15" i="1" s="1"/>
  <c r="Y15" i="1" a="1"/>
  <c r="Y15" i="1" s="1"/>
  <c r="X16" i="1" a="1"/>
  <c r="X16" i="1" s="1"/>
  <c r="Y16" i="1" a="1"/>
  <c r="Y16" i="1" s="1"/>
  <c r="U8" i="1"/>
  <c r="Y7" i="1" s="1" a="1"/>
  <c r="Y7" i="1" s="1"/>
  <c r="K61" i="1"/>
  <c r="U16" i="1" s="1"/>
  <c r="Y10" i="1" s="1" a="1"/>
  <c r="Y10" i="1" s="1"/>
  <c r="M42" i="1"/>
  <c r="U6" i="1"/>
  <c r="M45" i="1"/>
  <c r="U10" i="1"/>
  <c r="Y9" i="1" s="1" a="1"/>
  <c r="Y9" i="1" s="1"/>
  <c r="M43" i="1"/>
  <c r="U9" i="1"/>
  <c r="Y8" i="1" s="1" a="1"/>
  <c r="Y8" i="1" s="1"/>
  <c r="M41" i="1"/>
  <c r="O90" i="3"/>
  <c r="O127" i="3" l="1" a="1"/>
  <c r="O127" i="3" s="1"/>
  <c r="P127" i="3" s="1"/>
  <c r="N127" i="3"/>
  <c r="M61" i="1" a="1"/>
  <c r="M61" i="1" s="1"/>
  <c r="N61" i="1" s="1"/>
  <c r="U17" i="1"/>
  <c r="V6" i="1"/>
  <c r="Y11" i="1" l="1" a="1"/>
  <c r="Y11" i="1" s="1"/>
  <c r="Y12" i="1" a="1"/>
  <c r="Y12" i="1" s="1"/>
  <c r="H91" i="1" l="1"/>
  <c r="H93" i="1" l="1"/>
  <c r="I87" i="1" l="1"/>
  <c r="K87" i="1" s="1"/>
  <c r="I83" i="1"/>
  <c r="K83" i="1" s="1"/>
  <c r="I89" i="1"/>
  <c r="K89" i="1" s="1"/>
  <c r="I84" i="1"/>
  <c r="K84" i="1" s="1"/>
  <c r="I90" i="1"/>
  <c r="K90" i="1" s="1"/>
  <c r="I85" i="1"/>
  <c r="K85" i="1" s="1"/>
  <c r="I88" i="1"/>
  <c r="K88" i="1" s="1"/>
  <c r="I86" i="1"/>
  <c r="K86" i="1" s="1"/>
  <c r="I74" i="1"/>
  <c r="K74" i="1" s="1"/>
  <c r="I91" i="1"/>
  <c r="I71" i="1"/>
  <c r="I82" i="1"/>
  <c r="K82" i="1" s="1"/>
  <c r="I79" i="1"/>
  <c r="I78" i="1"/>
  <c r="K78" i="1" s="1"/>
  <c r="I73" i="1"/>
  <c r="I75" i="1"/>
  <c r="I77" i="1"/>
  <c r="K77" i="1" s="1"/>
  <c r="I76" i="1"/>
  <c r="K76" i="1" s="1"/>
  <c r="I81" i="1"/>
  <c r="K81" i="1" s="1"/>
  <c r="I72" i="1"/>
  <c r="K72" i="1" s="1"/>
  <c r="I80" i="1"/>
  <c r="K91" i="1" l="1"/>
  <c r="V17" i="1"/>
  <c r="K80" i="1"/>
  <c r="V7" i="1"/>
  <c r="K75" i="1"/>
  <c r="V10" i="1"/>
  <c r="K73" i="1"/>
  <c r="V9" i="1"/>
  <c r="V16" i="1"/>
  <c r="Z10" i="1" s="1" a="1"/>
  <c r="Z10" i="1" s="1"/>
  <c r="K79" i="1"/>
  <c r="V8" i="1"/>
  <c r="Z7" i="1" s="1" a="1"/>
  <c r="Z7" i="1" s="1"/>
  <c r="I93" i="1"/>
  <c r="K71" i="1"/>
  <c r="K93" i="1" l="1" a="1"/>
  <c r="K93" i="1" s="1"/>
  <c r="L93" i="1" s="1"/>
  <c r="Z8" i="1" a="1"/>
  <c r="Z8" i="1" s="1"/>
  <c r="Z9" i="1" a="1"/>
  <c r="Z9" i="1" s="1"/>
  <c r="Z6" i="1" a="1"/>
  <c r="Z6" i="1" s="1"/>
  <c r="Z12" i="1" a="1"/>
  <c r="Z12" i="1" s="1"/>
  <c r="Z16" i="1" a="1"/>
  <c r="Z16" i="1" s="1"/>
  <c r="Z17" i="1" a="1"/>
  <c r="Z17" i="1" s="1"/>
  <c r="Z14" i="1" a="1"/>
  <c r="Z14" i="1" s="1"/>
  <c r="Z15" i="1" a="1"/>
  <c r="Z15" i="1" s="1"/>
  <c r="Z13" i="1" a="1"/>
  <c r="Z13" i="1" s="1"/>
  <c r="Z11" i="1" a="1"/>
  <c r="Z11" i="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Ulises Legaspi Soubervielle</author>
  </authors>
  <commentList>
    <comment ref="I26" authorId="0" shapeId="0" xr:uid="{BCA7E281-2F9A-48AB-A63A-2CB12280A553}">
      <text>
        <r>
          <rPr>
            <b/>
            <sz val="8"/>
            <color indexed="81"/>
            <rFont val="Tahoma"/>
            <family val="2"/>
          </rPr>
          <t>Rendimiento histórico de los dividendos (incluye dividendos de emisoras que no se tienen actualmente)</t>
        </r>
      </text>
    </comment>
    <comment ref="M61" authorId="0" shapeId="0" xr:uid="{E8091BE6-D405-4139-909E-A4F1B747E345}">
      <text>
        <r>
          <rPr>
            <b/>
            <sz val="9"/>
            <color indexed="81"/>
            <rFont val="Tahoma"/>
            <family val="2"/>
          </rPr>
          <t>Ulises Legaspi Soubervielle:</t>
        </r>
        <r>
          <rPr>
            <sz val="9"/>
            <color indexed="81"/>
            <rFont val="Tahoma"/>
            <family val="2"/>
          </rPr>
          <t xml:space="preserve">
Suma las diferencias absolutas de % y da una interpretación al número de acuerdo a una escala pre-definida</t>
        </r>
      </text>
    </comment>
    <comment ref="K93" authorId="0" shapeId="0" xr:uid="{6BBB70BC-5CE9-43B0-AF53-C8EA4E0162B2}">
      <text>
        <r>
          <rPr>
            <b/>
            <sz val="9"/>
            <color indexed="81"/>
            <rFont val="Tahoma"/>
            <family val="2"/>
          </rPr>
          <t>Ulises Legaspi Soubervielle:</t>
        </r>
        <r>
          <rPr>
            <sz val="9"/>
            <color indexed="81"/>
            <rFont val="Tahoma"/>
            <family val="2"/>
          </rPr>
          <t xml:space="preserve">
Suma las diferencias absolutas de % y da una interpretación al número de acuerdo a una escala pre-definida</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Ulises Legaspi Soubervielle</author>
  </authors>
  <commentList>
    <comment ref="O127" authorId="0" shapeId="0" xr:uid="{8269E590-486A-4C33-A036-231465688F04}">
      <text>
        <r>
          <rPr>
            <b/>
            <sz val="9"/>
            <color indexed="81"/>
            <rFont val="Tahoma"/>
            <family val="2"/>
          </rPr>
          <t>Ulises Legaspi Soubervielle:</t>
        </r>
        <r>
          <rPr>
            <sz val="9"/>
            <color indexed="81"/>
            <rFont val="Tahoma"/>
            <family val="2"/>
          </rPr>
          <t xml:space="preserve">
Suma las diferencias absolutas de % y da una interpretación al número de acuerdo a una escala pre-definida</t>
        </r>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<sst xmlns="http://schemas.openxmlformats.org/spreadsheetml/2006/main" count="329" uniqueCount="168">
  <si>
    <t>IPC Regresión a la media</t>
  </si>
  <si>
    <t>Ticker</t>
  </si>
  <si>
    <t>Compañía</t>
  </si>
  <si>
    <t>Títulos</t>
  </si>
  <si>
    <t>Costo total</t>
  </si>
  <si>
    <t>% Mi Portafolio</t>
  </si>
  <si>
    <t>% Portafolio Modelo</t>
  </si>
  <si>
    <t>EFECTIVO</t>
  </si>
  <si>
    <t>Costo Promedio Ponderado</t>
  </si>
  <si>
    <t>Valor mercado</t>
  </si>
  <si>
    <t>TOTAL</t>
  </si>
  <si>
    <t>Mi Portafolio</t>
  </si>
  <si>
    <t>¿Cuánto quieres invertir?</t>
  </si>
  <si>
    <t>Indexación con el portafolio Modelo</t>
  </si>
  <si>
    <t>CAMBIA TU COSTO PROMEDIO PONDERADO AL PRECIO REAL DE COMPRA (POR DEFAULT VIENE EL ÚLTIMO CIERRE DEL MERCADO A LA FECHA DEL PORTAFOLIO)</t>
  </si>
  <si>
    <t>Último Cierre de mercado</t>
  </si>
  <si>
    <t>ANTERIOR</t>
  </si>
  <si>
    <t>NUEVO</t>
  </si>
  <si>
    <t>Diferencia vs anterior</t>
  </si>
  <si>
    <t>Dividendos cobrados en el período</t>
  </si>
  <si>
    <t>Rendimiento Total del período</t>
  </si>
  <si>
    <t>Precio mercado inicio rebalanceo</t>
  </si>
  <si>
    <t>Precio mercado final rebalanceo</t>
  </si>
  <si>
    <t>Valor inicial portafolio</t>
  </si>
  <si>
    <t>Precio</t>
  </si>
  <si>
    <t>Compra (Venta)</t>
  </si>
  <si>
    <t>Diferencia vs Portafolio Modelo</t>
  </si>
  <si>
    <t>EMPEZAR MI PORTAFOLIO DESDE 0</t>
  </si>
  <si>
    <t>REBALANCEO DE MI PORTAFOLIO</t>
  </si>
  <si>
    <t>SEGUIMIENTO HISTÓRICO DE MI PORTAFOLIO</t>
  </si>
  <si>
    <t>Aportaciones netas históricas (depósitos - retiros)</t>
  </si>
  <si>
    <t>Dividendos Cobrados Totales</t>
  </si>
  <si>
    <t>SI YA SIGUES ESTA ESTRATEGIA:</t>
  </si>
  <si>
    <t>3. La información se copiará automáticamente en la sección "seguimiento histórico de mi portafolio" dentro de la pestaña "Portafolio Actual".</t>
  </si>
  <si>
    <t>1. Ve a la pestaña de "Portafolio Actual" y en la sección de "Empezar mi portafolio desde 0" ingresa la cantidad que quieres invertir en el portafolio de esta estrategia</t>
  </si>
  <si>
    <t>2. El formato te calculará automáticamente a los precios de compra que ingreses (vienen a cierre del último rebalanceo por default), la cantidad de títulos que tienes que comprar por emisora para seguir esta estrategia</t>
  </si>
  <si>
    <t>4. En esa misma sección agrega el monto de inversión con el que empezaste a seguir la estrategia así como el saldo de los depósitos - retiros que has hecho al portafolio después de iniciado.</t>
  </si>
  <si>
    <t>3. En la última columna te marcará las diferencias en peso de cada emisora vs el Portafolio Modelo así como un % de desviación total y calificación de indexación.</t>
  </si>
  <si>
    <t>IPC REGRESIÓN A LA MEDIA</t>
  </si>
  <si>
    <t>Universo:</t>
  </si>
  <si>
    <t>Rebalanceo:</t>
  </si>
  <si>
    <t>Monto mínimo sugerido:</t>
  </si>
  <si>
    <t>Fecha de inicio:</t>
  </si>
  <si>
    <t>S&amp;P BMV/IPC</t>
  </si>
  <si>
    <t>Semestral</t>
  </si>
  <si>
    <t>TIIE 1 día promedio mensual</t>
  </si>
  <si>
    <t>PUEDES AGREGAR LOS DIVIDENDOS COBRADOS HISTÓRICOS POR EMISORA PARA CALCULAR SU RENDIMIENTO TOTAL (SI NO SE AGREGAN, SE VUELVE RENDIMIENTO SIMPLE). AGREGARLOS O NO, NO AFECTA EL CÁLCULO DEL RENDIMIENTO TOTAL DEL PORTAFOLIO</t>
  </si>
  <si>
    <t>1. Ve a la pestaña de "Último rebalanceo" e ingresa la posición y costo de tu portafolio actual en la sección de "rebalanceo de mi portafolio"</t>
  </si>
  <si>
    <t>2. El formato te calculará automáticamente a los precios de compra que ingreses (vienen a cierre del último rebalanceo por default), los nuevos movimientos que tienes que hacer para continuar siguiendo la estrategia hasta este último rebalanceo.</t>
  </si>
  <si>
    <t>SI ES TU PRIMERA VEZ Y QUIERES SEGUIR ESTA ESTRATEGIA*:</t>
  </si>
  <si>
    <t>*También lo puedes usar si ya la sigues pero hiciste un depósito/retiro de recursos de tu portafolio entre fechas de rebalanceo y quieres saber cómo debería de quedar tu portafolio con los cambios para continuar siguiendo la estrategia correctamente (sólo haz los movimientos por las diferencias que te marque entre el nuevo portafolio desde 0 y tu portafolio actual después del depósito/retiro de recursos)</t>
  </si>
  <si>
    <t>GICS</t>
  </si>
  <si>
    <t>Consumo básico</t>
  </si>
  <si>
    <t>Industrial</t>
  </si>
  <si>
    <t>Servicios de comunicación</t>
  </si>
  <si>
    <t>Materiales</t>
  </si>
  <si>
    <t>Efectivo</t>
  </si>
  <si>
    <t>GICS únicos</t>
  </si>
  <si>
    <t>PM</t>
  </si>
  <si>
    <t>MP1</t>
  </si>
  <si>
    <t>MP2</t>
  </si>
  <si>
    <t>**Los rendimientos calculados, son brutos (no contemplan ninguna clase de comisión ni impuestos).</t>
  </si>
  <si>
    <t>% Mínimo por emisora</t>
  </si>
  <si>
    <t>% Máximo por emisora</t>
  </si>
  <si>
    <t>OMAB</t>
  </si>
  <si>
    <t>TLEVISACPO</t>
  </si>
  <si>
    <t>CEMEXCPO</t>
  </si>
  <si>
    <t>PINFRA</t>
  </si>
  <si>
    <t>FEMSAUBD</t>
  </si>
  <si>
    <t>KOFUBL</t>
  </si>
  <si>
    <t>ALSEA</t>
  </si>
  <si>
    <t>GRUMAB</t>
  </si>
  <si>
    <t>BIMBOA</t>
  </si>
  <si>
    <t>PE&amp;OLES</t>
  </si>
  <si>
    <t>VESTA</t>
  </si>
  <si>
    <t>GENTERA</t>
  </si>
  <si>
    <t>GCARSOA1</t>
  </si>
  <si>
    <t>CHDRAUIB</t>
  </si>
  <si>
    <t>GFINBURO</t>
  </si>
  <si>
    <t>KIMBERA</t>
  </si>
  <si>
    <t>Q</t>
  </si>
  <si>
    <t>GAPB</t>
  </si>
  <si>
    <t>ORBIA</t>
  </si>
  <si>
    <t>AMXB</t>
  </si>
  <si>
    <t>ASURB</t>
  </si>
  <si>
    <t>CUERVO</t>
  </si>
  <si>
    <t>BOLSAA</t>
  </si>
  <si>
    <t>LIVEPOLC-1</t>
  </si>
  <si>
    <t>MEGACPO</t>
  </si>
  <si>
    <t>Alsea SA</t>
  </si>
  <si>
    <t>Cemex SA CPO</t>
  </si>
  <si>
    <t>Coca-Cola Femsa SAB de CV UBL</t>
  </si>
  <si>
    <t>El Puerto de Liverpool SAB de CV</t>
  </si>
  <si>
    <t>Gentera SAB de CV</t>
  </si>
  <si>
    <t>Grupo Aeroportuario del Pacifico, S.A.B. de C.V.</t>
  </si>
  <si>
    <t>Qualitas Controladora S.A.B de C.V.</t>
  </si>
  <si>
    <t>Industrias Penoles</t>
  </si>
  <si>
    <t>Kimberly Clark de Mexico S.A.B. de C.V. A</t>
  </si>
  <si>
    <t>ORBIA ADVANCE CORPORATION SAB de CV</t>
  </si>
  <si>
    <t>Megacable Holdings SAB de CV</t>
  </si>
  <si>
    <t>Becle, S.A. De C.V.</t>
  </si>
  <si>
    <t>Consumo discrecional</t>
  </si>
  <si>
    <t>Financiero</t>
  </si>
  <si>
    <t>ALFAA</t>
  </si>
  <si>
    <t>WALMEX</t>
  </si>
  <si>
    <t>GMEXICOB</t>
  </si>
  <si>
    <t>AC</t>
  </si>
  <si>
    <t>BBAJIOO</t>
  </si>
  <si>
    <t>LABB</t>
  </si>
  <si>
    <t>GCC</t>
  </si>
  <si>
    <t>ELEKTRA</t>
  </si>
  <si>
    <t>GFNORTEO</t>
  </si>
  <si>
    <t>RA</t>
  </si>
  <si>
    <t>**En la última pestaña están las posiciones de los rebalanceos de los 12 meses anteriores a los 2 presentados en  la pestaña "Último rebalanceo"</t>
  </si>
  <si>
    <t>Walmart de Mexico SAB de CV</t>
  </si>
  <si>
    <t>Grupo Mexico SAB de CV B</t>
  </si>
  <si>
    <t>Genomma Lab Internacional SA de CV</t>
  </si>
  <si>
    <t>Grupo Comercial Chedraui SA de CV</t>
  </si>
  <si>
    <t>Banco del Bajio, S.A.</t>
  </si>
  <si>
    <t>Rend. Logarítmico</t>
  </si>
  <si>
    <t>Rend. Simple</t>
  </si>
  <si>
    <t>1 de Noviembre 2021</t>
  </si>
  <si>
    <t>LACOMERUBC</t>
  </si>
  <si>
    <t>LASITEB-1</t>
  </si>
  <si>
    <t>SITES1A-1</t>
  </si>
  <si>
    <t>VOLARA</t>
  </si>
  <si>
    <t>Arca Continental, SAB de CV</t>
  </si>
  <si>
    <t>Alfa SA A</t>
  </si>
  <si>
    <t>America Movil SAB de CV B</t>
  </si>
  <si>
    <t>Grupo Aeroportuario del Sureste SAB de CV B</t>
  </si>
  <si>
    <t>Grupo Bimbo S.A.B.</t>
  </si>
  <si>
    <t>Bolsa Mexicana de Valores SA de CV</t>
  </si>
  <si>
    <t>Fomento Economico Mexicano S.A.B. de C.V.</t>
  </si>
  <si>
    <t>Grupo Carso SAB de CV</t>
  </si>
  <si>
    <t>Grupo Cementos de Chihuahua SAB de CV</t>
  </si>
  <si>
    <t>Grupo Financiero Inbursa O</t>
  </si>
  <si>
    <t>Grupo Financiero Banorte O</t>
  </si>
  <si>
    <t>Gruma SAB B</t>
  </si>
  <si>
    <t>Cuidado de la Salud</t>
  </si>
  <si>
    <t>Grupo Aeroportuario del Centro Norte, S.A.B. de C.V.</t>
  </si>
  <si>
    <t>Promotora y Operadora de Infraestructura SAB de CV</t>
  </si>
  <si>
    <t>Regional, S.A. de C.V.</t>
  </si>
  <si>
    <t>Grupo Televisa SAB CPO</t>
  </si>
  <si>
    <t>Corporacion Inmobiliaria Vesta, S.A.B. DE C.V.</t>
  </si>
  <si>
    <t>Inmobiliario</t>
  </si>
  <si>
    <r>
      <t>La Comer, S.A.B. de </t>
    </r>
    <r>
      <rPr>
        <b/>
        <sz val="7"/>
        <color rgb="FF5F6368"/>
        <rFont val="Arial"/>
        <family val="2"/>
      </rPr>
      <t>C.V.</t>
    </r>
  </si>
  <si>
    <t>Toma las emisoras componentes del índice S&amp;P BMV/IPC, comparando su precio actual contra su mediana de precios diarios de los últimos 12 meses y asigna entre 0 y 10% a cada emisora de acuerdo a su nivel de desviación. Sub/Sobreasignaciones equitativas al número de emisoras &gt; 0% (Max. 15% total). Busca estar 100% invertido o lo más cercano a ello.</t>
  </si>
  <si>
    <t>0-5%</t>
  </si>
  <si>
    <t>Acciones fraccionadas</t>
  </si>
  <si>
    <t>No</t>
  </si>
  <si>
    <t>AGREGA TUS TÍTULOS Y COSTO ACTUAL (ANTES DE ESTE REBALANCEO) Y EN LA PARTE INFERIOR CAMBIA A TUS PRECIOS REALES DE EJECUCIÓN (VIENEN POR DEFAULT LOS ÚLTIMOS DE CIERRE A LA FECHA DEL REBALANCEO) PARA OBTENER EL NÚMERO DE TÍTULOS A COMPRAR (VENDER) POR EMISORA.</t>
  </si>
  <si>
    <t>*Para el remanente de efectivo, se puede seleccionar entre un rendimiento igual al promedio mensual de la TIIE de fondeo a 1 día durante el período entre rebalanceos (base 30/360) o si se quiere omitir, seleccionar 0 en la casilla de TIIE en la pestaña último rebalanceo. No se incluyen los dividendos cobrados en el período para el cálculo.</t>
  </si>
  <si>
    <t>Valor final</t>
  </si>
  <si>
    <r>
      <rPr>
        <b/>
        <i/>
        <sz val="9"/>
        <color rgb="FF002060"/>
        <rFont val="Microsoft JhengHei"/>
        <family val="2"/>
      </rPr>
      <t xml:space="preserve">DISCLAIMER: </t>
    </r>
    <r>
      <rPr>
        <i/>
        <sz val="9"/>
        <color rgb="FF002060"/>
        <rFont val="Microsoft JhengHei"/>
        <family val="2"/>
      </rPr>
      <t xml:space="preserve">Los datos y la información proporcionados no deben interpretarse como asesoramiento de inversiones general ni personalizado ni recomendaciones para comprar o vender valores. Los productos u operaciones financieras a los que se refieren esos datos y esa información pueden no ser adecuados para tu perfil, tus objetivos o tus expectativas de inversión. Es tu responsabilidad determinar si cualquier producto u operación financiera es adecuada para tu caso, según tus intereses, objetivos de inversión, horizonte de inversión y propensión al riesgo. </t>
    </r>
  </si>
  <si>
    <t>Riesgo (volatilidad anual)</t>
  </si>
  <si>
    <t>Medio (10-15%)</t>
  </si>
  <si>
    <r>
      <t xml:space="preserve">5. </t>
    </r>
    <r>
      <rPr>
        <b/>
        <sz val="10"/>
        <rFont val="Microsoft JhengHei"/>
        <family val="2"/>
      </rPr>
      <t>(OPCIONAL)</t>
    </r>
    <r>
      <rPr>
        <sz val="10"/>
        <rFont val="Microsoft JhengHei"/>
        <family val="2"/>
      </rPr>
      <t>. Puedes ingresar la información de los dividendos cobrados totales por emisora dentro del portafolio actual si quieres calcular una aproximación del rendimiento total de cada una de acuerdo a su costo promedio ponderado actual, caso contrario, la columna de "Rendimiento Total" por emisora se convierte en rendimiento simple al momento pero en ningún caso afecta el cálculo del rendimiento total del portafolio.</t>
    </r>
  </si>
  <si>
    <t>Cuidado de la salud</t>
  </si>
  <si>
    <t>TI</t>
  </si>
  <si>
    <t>Servicios básicos</t>
  </si>
  <si>
    <t>Energía</t>
  </si>
  <si>
    <t>#NA</t>
  </si>
  <si>
    <t>Rendimiento Total Actual</t>
  </si>
  <si>
    <t>al 30-Abr-24</t>
  </si>
  <si>
    <t>al 31-Oct-24</t>
  </si>
  <si>
    <t>PORTAFOLIO</t>
  </si>
  <si>
    <t>IPC IRT</t>
  </si>
  <si>
    <t>Rendimiento Total sobre Costo Actual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</si>
</sst>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4" formatCode="_(&quot;$&quot;* #,##0.00_);_(&quot;$&quot;* \(#,##0.00\);_(&quot;$&quot;* &quot;-&quot;??_);_(@_)"/>
    <numFmt numFmtId="43" formatCode="_(* #,##0.00_);_(* \(#,##0.00\);_(* &quot;-&quot;??_);_(@_)"/>
    <numFmt numFmtId="164" formatCode="0.0%"/>
    <numFmt numFmtId="165" formatCode="_(&quot;$&quot;* #,##0_);_(&quot;$&quot;* \(#,##0\);_(&quot;$&quot;* &quot;-&quot;??_);_(@_)"/>
    <numFmt numFmtId="166" formatCode="_(&quot;$&quot;* #,##0.0_);_(&quot;$&quot;* \(#,##0.0\);_(&quot;$&quot;* &quot;-&quot;??_);_(@_)"/>
    <numFmt numFmtId="167" formatCode="_(* #,##0_);_(* \(#,##0\);_(* &quot;-&quot;??_);_(@_)"/>
    <numFmt numFmtId="168" formatCode="[$-409]d\-mmm\-yyyy;@"/>
    <numFmt numFmtId="169" formatCode="0.000%"/>
  </numFmts>
  <fonts count="46" x14ac:knownFonts="1">
    <font>
      <sz val="11"/>
      <color theme="1"/>
      <name val="Calibri"/>
      <family val="2"/>
      <scheme val="minor"/>
    </font>
    <font>
      <sz val="11"/>
      <color theme="1"/>
      <name val="Calibri"/>
      <family val="2"/>
      <scheme val="minor"/>
    </font>
    <font>
      <sz val="8"/>
      <color theme="1"/>
      <name val="Malgun Gothic Semilight"/>
      <family val="2"/>
    </font>
    <font>
      <b/>
      <sz val="8"/>
      <color theme="1"/>
      <name val="Malgun Gothic Semilight"/>
      <family val="2"/>
    </font>
    <font>
      <b/>
      <sz val="9"/>
      <color theme="1"/>
      <name val="Malgun Gothic Semilight"/>
      <family val="2"/>
    </font>
    <font>
      <sz val="11"/>
      <color theme="0"/>
      <name val="Calibri"/>
      <family val="2"/>
      <scheme val="minor"/>
    </font>
    <font>
      <b/>
      <sz val="10"/>
      <color rgb="FF784FC9"/>
      <name val="Malgun Gothic"/>
      <family val="2"/>
    </font>
    <font>
      <b/>
      <sz val="8"/>
      <color theme="0"/>
      <name val="Malgun Gothic Semilight"/>
      <family val="2"/>
    </font>
    <font>
      <b/>
      <sz val="11"/>
      <color theme="0"/>
      <name val="Malgun Gothic"/>
      <family val="2"/>
    </font>
    <font>
      <b/>
      <sz val="9"/>
      <color indexed="81"/>
      <name val="Tahoma"/>
      <family val="2"/>
    </font>
    <font>
      <sz val="9"/>
      <color indexed="81"/>
      <name val="Tahoma"/>
      <family val="2"/>
    </font>
    <font>
      <sz val="8"/>
      <color rgb="FFC00000"/>
      <name val="Malgun Gothic Semilight"/>
      <family val="2"/>
    </font>
    <font>
      <sz val="9"/>
      <color rgb="FFC00000"/>
      <name val="Malgun Gothic"/>
      <family val="2"/>
    </font>
    <font>
      <b/>
      <sz val="9"/>
      <color rgb="FFC00000"/>
      <name val="Malgun Gothic"/>
      <family val="2"/>
    </font>
    <font>
      <b/>
      <sz val="9"/>
      <color rgb="FF784FC9"/>
      <name val="Malgun Gothic Semilight"/>
      <family val="2"/>
    </font>
    <font>
      <b/>
      <sz val="10"/>
      <color theme="3"/>
      <name val="Malgun Gothic Semilight"/>
      <family val="2"/>
    </font>
    <font>
      <b/>
      <sz val="8"/>
      <color theme="0" tint="-4.9989318521683403E-2"/>
      <name val="Malgun Gothic Semilight"/>
      <family val="2"/>
    </font>
    <font>
      <b/>
      <sz val="9"/>
      <color theme="0"/>
      <name val="Malgun Gothic Semilight"/>
      <family val="2"/>
    </font>
    <font>
      <b/>
      <sz val="9"/>
      <color theme="1"/>
      <name val="Malgun Gothic"/>
      <family val="2"/>
    </font>
    <font>
      <b/>
      <sz val="9"/>
      <color rgb="FF002060"/>
      <name val="Malgun Gothic"/>
      <family val="2"/>
    </font>
    <font>
      <b/>
      <sz val="8"/>
      <color rgb="FF002060"/>
      <name val="Malgun Gothic Semilight"/>
      <family val="2"/>
    </font>
    <font>
      <sz val="11"/>
      <color theme="1"/>
      <name val="Microsoft JhengHei"/>
      <family val="2"/>
    </font>
    <font>
      <sz val="10"/>
      <color theme="1"/>
      <name val="Microsoft JhengHei"/>
      <family val="2"/>
    </font>
    <font>
      <sz val="10"/>
      <name val="Microsoft JhengHei"/>
      <family val="2"/>
    </font>
    <font>
      <sz val="11"/>
      <name val="Microsoft JhengHei"/>
      <family val="2"/>
    </font>
    <font>
      <b/>
      <sz val="10"/>
      <name val="Microsoft JhengHei"/>
      <family val="2"/>
    </font>
    <font>
      <b/>
      <sz val="11"/>
      <color rgb="FF002060"/>
      <name val="Microsoft JhengHei"/>
      <family val="2"/>
    </font>
    <font>
      <b/>
      <sz val="11"/>
      <color rgb="FF7847C9"/>
      <name val="Microsoft JhengHei"/>
      <family val="2"/>
    </font>
    <font>
      <b/>
      <sz val="9"/>
      <color rgb="FF002060"/>
      <name val="Malgun Gothic Semilight"/>
      <family val="2"/>
    </font>
    <font>
      <sz val="11"/>
      <color theme="6" tint="0.79998168889431442"/>
      <name val="Microsoft JhengHei"/>
      <family val="2"/>
    </font>
    <font>
      <b/>
      <sz val="10"/>
      <color rgb="FF002060"/>
      <name val="Microsoft JhengHei"/>
      <family val="2"/>
    </font>
    <font>
      <sz val="10"/>
      <color theme="6" tint="0.79998168889431442"/>
      <name val="Microsoft JhengHei"/>
      <family val="2"/>
    </font>
    <font>
      <i/>
      <sz val="9"/>
      <color rgb="FF002060"/>
      <name val="Microsoft JhengHei"/>
      <family val="2"/>
    </font>
    <font>
      <b/>
      <sz val="7"/>
      <color rgb="FF5F6368"/>
      <name val="Arial"/>
      <family val="2"/>
    </font>
    <font>
      <b/>
      <sz val="9"/>
      <color theme="0"/>
      <name val="Malgun Gothic"/>
      <family val="2"/>
    </font>
    <font>
      <b/>
      <i/>
      <sz val="9"/>
      <color rgb="FF002060"/>
      <name val="Microsoft JhengHei"/>
      <family val="2"/>
    </font>
    <font>
      <sz val="8"/>
      <name val="Calibri"/>
      <family val="2"/>
      <scheme val="minor"/>
    </font>
    <font>
      <sz val="10"/>
      <name val="BrowalliaUPC"/>
      <family val="2"/>
      <charset val="222"/>
    </font>
    <font>
      <sz val="11"/>
      <name val="Calibri"/>
      <family val="2"/>
      <scheme val="minor"/>
    </font>
    <font>
      <sz val="8"/>
      <color theme="0"/>
      <name val="Malgun Gothic Semilight"/>
      <family val="2"/>
    </font>
    <font>
      <sz val="10"/>
      <color theme="0"/>
      <name val="BrowalliaUPC"/>
      <family val="2"/>
      <charset val="222"/>
    </font>
    <font>
      <sz val="9"/>
      <color theme="0"/>
      <name val="Microsoft JhengHei"/>
      <family val="2"/>
    </font>
    <font>
      <sz val="9"/>
      <color theme="0"/>
      <name val="Malgun Gothic"/>
      <family val="2"/>
    </font>
    <font>
      <sz val="9"/>
      <name val="Microsoft JhengHei"/>
      <family val="2"/>
    </font>
    <font>
      <sz val="9"/>
      <name val="Malgun Gothic"/>
      <family val="2"/>
    </font>
    <font>
      <b/>
      <sz val="8"/>
      <color indexed="81"/>
      <name val="Tahoma"/>
      <family val="2"/>
    </font>
  </fonts>
  <fills count="9">
    <fill>
      <patternFill patternType="none"/>
    </fill>
    <fill>
      <patternFill patternType="gray125"/>
    </fill>
    <fill>
      <patternFill patternType="solid">
        <fgColor theme="0" tint="-4.9989318521683403E-2"/>
        <bgColor indexed="64"/>
      </patternFill>
    </fill>
    <fill>
      <patternFill patternType="solid">
        <fgColor theme="8" tint="0.79998168889431442"/>
        <bgColor indexed="64"/>
      </patternFill>
    </fill>
    <fill>
      <patternFill patternType="solid">
        <fgColor theme="6" tint="0.79998168889431442"/>
        <bgColor indexed="64"/>
      </patternFill>
    </fill>
    <fill>
      <patternFill patternType="solid">
        <fgColor rgb="FF784FC9"/>
        <bgColor indexed="64"/>
      </patternFill>
    </fill>
    <fill>
      <patternFill patternType="solid">
        <fgColor rgb="FF002060"/>
        <bgColor indexed="64"/>
      </patternFill>
    </fill>
    <fill>
      <patternFill patternType="solid">
        <fgColor rgb="FFCDACE6"/>
        <bgColor indexed="64"/>
      </patternFill>
    </fill>
    <fill>
      <patternFill patternType="solid">
        <fgColor rgb="FFFFFFFF"/>
        <bgColor indexed="64"/>
      </patternFill>
    </fill>
  </fills>
  <borders count="32">
    <border>
      <left/>
      <right/>
      <top/>
      <bottom/>
      <diagonal/>
    </border>
    <border>
      <left style="thick">
        <color theme="3" tint="0.79998168889431442"/>
      </left>
      <right style="thick">
        <color theme="3" tint="0.79998168889431442"/>
      </right>
      <top style="thick">
        <color theme="3" tint="0.79998168889431442"/>
      </top>
      <bottom style="thick">
        <color theme="3" tint="0.79998168889431442"/>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ck">
        <color theme="3" tint="0.79998168889431442"/>
      </left>
      <right style="thick">
        <color theme="3" tint="0.79998168889431442"/>
      </right>
      <top/>
      <bottom/>
      <diagonal/>
    </border>
    <border>
      <left style="medium">
        <color theme="2" tint="-9.9978637043366805E-2"/>
      </left>
      <right style="medium">
        <color theme="2" tint="-9.9978637043366805E-2"/>
      </right>
      <top style="medium">
        <color theme="2" tint="-9.9978637043366805E-2"/>
      </top>
      <bottom style="medium">
        <color theme="2" tint="-9.9978637043366805E-2"/>
      </bottom>
      <diagonal/>
    </border>
    <border>
      <left/>
      <right style="thick">
        <color theme="3" tint="0.79998168889431442"/>
      </right>
      <top style="thick">
        <color theme="3" tint="0.79998168889431442"/>
      </top>
      <bottom style="thick">
        <color theme="3" tint="0.79998168889431442"/>
      </bottom>
      <diagonal/>
    </border>
    <border>
      <left style="medium">
        <color theme="4" tint="0.39997558519241921"/>
      </left>
      <right/>
      <top style="medium">
        <color theme="4" tint="0.39997558519241921"/>
      </top>
      <bottom style="medium">
        <color theme="4" tint="0.39997558519241921"/>
      </bottom>
      <diagonal/>
    </border>
    <border>
      <left/>
      <right/>
      <top style="medium">
        <color theme="4" tint="0.39997558519241921"/>
      </top>
      <bottom style="medium">
        <color theme="4" tint="0.39997558519241921"/>
      </bottom>
      <diagonal/>
    </border>
    <border>
      <left style="medium">
        <color rgb="FF002060"/>
      </left>
      <right/>
      <top style="medium">
        <color rgb="FF002060"/>
      </top>
      <bottom style="thick">
        <color theme="3" tint="0.79998168889431442"/>
      </bottom>
      <diagonal/>
    </border>
    <border>
      <left/>
      <right/>
      <top style="medium">
        <color rgb="FF002060"/>
      </top>
      <bottom style="thick">
        <color theme="3" tint="0.79998168889431442"/>
      </bottom>
      <diagonal/>
    </border>
    <border>
      <left/>
      <right style="medium">
        <color rgb="FF002060"/>
      </right>
      <top style="medium">
        <color rgb="FF002060"/>
      </top>
      <bottom style="thick">
        <color theme="3" tint="0.79998168889431442"/>
      </bottom>
      <diagonal/>
    </border>
    <border>
      <left style="thick">
        <color theme="3" tint="0.79998168889431442"/>
      </left>
      <right/>
      <top style="thick">
        <color theme="3" tint="0.79998168889431442"/>
      </top>
      <bottom style="thick">
        <color theme="3" tint="0.79998168889431442"/>
      </bottom>
      <diagonal/>
    </border>
    <border>
      <left style="medium">
        <color theme="4" tint="0.39997558519241921"/>
      </left>
      <right style="thick">
        <color theme="3" tint="0.79998168889431442"/>
      </right>
      <top/>
      <bottom style="thick">
        <color theme="3" tint="0.79998168889431442"/>
      </bottom>
      <diagonal/>
    </border>
    <border>
      <left style="thick">
        <color theme="3" tint="0.79998168889431442"/>
      </left>
      <right style="thick">
        <color theme="3" tint="0.79998168889431442"/>
      </right>
      <top/>
      <bottom style="thick">
        <color theme="3" tint="0.79998168889431442"/>
      </bottom>
      <diagonal/>
    </border>
    <border>
      <left style="thick">
        <color theme="3" tint="0.79998168889431442"/>
      </left>
      <right/>
      <top/>
      <bottom style="thick">
        <color theme="3" tint="0.79998168889431442"/>
      </bottom>
      <diagonal/>
    </border>
    <border>
      <left style="thick">
        <color theme="3" tint="0.79998168889431442"/>
      </left>
      <right style="medium">
        <color rgb="FF002060"/>
      </right>
      <top style="thick">
        <color theme="3" tint="0.79998168889431442"/>
      </top>
      <bottom style="thick">
        <color theme="3" tint="0.79998168889431442"/>
      </bottom>
      <diagonal/>
    </border>
    <border>
      <left style="medium">
        <color theme="4" tint="0.39997558519241921"/>
      </left>
      <right style="thick">
        <color theme="3" tint="0.79998168889431442"/>
      </right>
      <top style="thick">
        <color theme="3" tint="0.79998168889431442"/>
      </top>
      <bottom style="thick">
        <color theme="3" tint="0.79998168889431442"/>
      </bottom>
      <diagonal/>
    </border>
    <border>
      <left style="medium">
        <color theme="4" tint="0.39997558519241921"/>
      </left>
      <right style="thick">
        <color theme="3" tint="0.79998168889431442"/>
      </right>
      <top style="thick">
        <color theme="3" tint="0.79998168889431442"/>
      </top>
      <bottom style="medium">
        <color theme="4" tint="0.39997558519241921"/>
      </bottom>
      <diagonal/>
    </border>
    <border>
      <left style="thick">
        <color theme="3" tint="0.79998168889431442"/>
      </left>
      <right style="thick">
        <color theme="3" tint="0.79998168889431442"/>
      </right>
      <top style="thick">
        <color theme="3" tint="0.79998168889431442"/>
      </top>
      <bottom style="medium">
        <color theme="4" tint="0.39997558519241921"/>
      </bottom>
      <diagonal/>
    </border>
    <border>
      <left style="medium">
        <color rgb="FF002060"/>
      </left>
      <right style="thick">
        <color theme="3" tint="0.79998168889431442"/>
      </right>
      <top style="thick">
        <color theme="3" tint="0.79998168889431442"/>
      </top>
      <bottom style="medium">
        <color rgb="FF002060"/>
      </bottom>
      <diagonal/>
    </border>
    <border>
      <left style="thick">
        <color theme="3" tint="0.79998168889431442"/>
      </left>
      <right style="thick">
        <color theme="3" tint="0.79998168889431442"/>
      </right>
      <top style="thick">
        <color theme="3" tint="0.79998168889431442"/>
      </top>
      <bottom style="medium">
        <color rgb="FF002060"/>
      </bottom>
      <diagonal/>
    </border>
    <border>
      <left style="thick">
        <color theme="3" tint="0.79998168889431442"/>
      </left>
      <right style="medium">
        <color rgb="FF002060"/>
      </right>
      <top style="thick">
        <color theme="3" tint="0.79998168889431442"/>
      </top>
      <bottom style="medium">
        <color rgb="FF002060"/>
      </bottom>
      <diagonal/>
    </border>
    <border>
      <left/>
      <right style="medium">
        <color rgb="FF002060"/>
      </right>
      <top style="medium">
        <color theme="4" tint="0.39997558519241921"/>
      </top>
      <bottom style="medium">
        <color theme="4" tint="0.39997558519241921"/>
      </bottom>
      <diagonal/>
    </border>
    <border>
      <left/>
      <right style="thick">
        <color theme="3" tint="0.79998168889431442"/>
      </right>
      <top style="thick">
        <color theme="3" tint="0.79998168889431442"/>
      </top>
      <bottom style="medium">
        <color rgb="FF002060"/>
      </bottom>
      <diagonal/>
    </border>
    <border>
      <left/>
      <right style="medium">
        <color indexed="64"/>
      </right>
      <top style="thick">
        <color theme="3" tint="0.79998168889431442"/>
      </top>
      <bottom style="thick">
        <color theme="3" tint="0.79998168889431442"/>
      </bottom>
      <diagonal/>
    </border>
    <border>
      <left/>
      <right style="thick">
        <color theme="3" tint="0.79998168889431442"/>
      </right>
      <top/>
      <bottom style="thick">
        <color theme="3" tint="0.79998168889431442"/>
      </bottom>
      <diagonal/>
    </border>
    <border>
      <left/>
      <right style="thick">
        <color theme="3" tint="0.79998168889431442"/>
      </right>
      <top style="thick">
        <color theme="3" tint="0.79998168889431442"/>
      </top>
      <bottom style="medium">
        <color theme="4" tint="0.39997558519241921"/>
      </bottom>
      <diagonal/>
    </border>
    <border>
      <left style="medium">
        <color theme="2" tint="-9.9978637043366805E-2"/>
      </left>
      <right/>
      <top style="thick">
        <color theme="3" tint="0.79998168889431442"/>
      </top>
      <bottom style="thick">
        <color theme="3" tint="0.79998168889431442"/>
      </bottom>
      <diagonal/>
    </border>
    <border>
      <left style="thin">
        <color theme="6" tint="0.79998168889431442"/>
      </left>
      <right style="thin">
        <color theme="6" tint="0.79998168889431442"/>
      </right>
      <top style="thin">
        <color theme="6" tint="0.79998168889431442"/>
      </top>
      <bottom style="thin">
        <color theme="6" tint="0.79998168889431442"/>
      </bottom>
      <diagonal/>
    </border>
    <border>
      <left style="thin">
        <color theme="0"/>
      </left>
      <right style="thin">
        <color theme="0"/>
      </right>
      <top style="thin">
        <color theme="0"/>
      </top>
      <bottom style="thin">
        <color theme="0"/>
      </bottom>
      <diagonal/>
    </border>
    <border>
      <left style="thick">
        <color theme="3" tint="0.79998168889431442"/>
      </left>
      <right/>
      <top style="thick">
        <color theme="3" tint="0.79998168889431442"/>
      </top>
      <bottom style="medium">
        <color theme="4" tint="0.39997558519241921"/>
      </bottom>
      <diagonal/>
    </border>
  </borders>
  <cellStyleXfs count="4">
    <xf numFmtId="0" fontId="0" fillId="0" borderId="0"/>
    <xf numFmtId="43" fontId="1" fillId="0" borderId="0" applyFont="0" applyFill="0" applyBorder="0" applyAlignment="0" applyProtection="0"/>
    <xf numFmtId="44" fontId="1" fillId="0" borderId="0" applyFont="0" applyFill="0" applyBorder="0" applyAlignment="0" applyProtection="0"/>
    <xf numFmtId="9" fontId="1" fillId="0" borderId="0" applyFont="0" applyFill="0" applyBorder="0" applyAlignment="0" applyProtection="0"/>
  </cellStyleXfs>
  <cellXfs count="161">
    <xf numFmtId="0" fontId="0" fillId="0" borderId="0" xfId="0"/>
    <xf numFmtId="0" fontId="3" fillId="3" borderId="1" xfId="0" applyFont="1" applyFill="1" applyBorder="1" applyAlignment="1">
      <alignment horizontal="center"/>
    </xf>
    <xf numFmtId="0" fontId="3" fillId="3" borderId="1" xfId="0" applyFont="1" applyFill="1" applyBorder="1" applyAlignment="1">
      <alignment horizontal="center" wrapText="1"/>
    </xf>
    <xf numFmtId="0" fontId="2" fillId="0" borderId="1" xfId="0" applyFont="1" applyBorder="1"/>
    <xf numFmtId="44" fontId="2" fillId="0" borderId="1" xfId="2" applyFont="1" applyBorder="1"/>
    <xf numFmtId="44" fontId="2" fillId="0" borderId="1" xfId="0" applyNumberFormat="1" applyFont="1" applyBorder="1"/>
    <xf numFmtId="164" fontId="2" fillId="0" borderId="1" xfId="3" applyNumberFormat="1" applyFont="1" applyBorder="1"/>
    <xf numFmtId="164" fontId="0" fillId="0" borderId="0" xfId="3" applyNumberFormat="1" applyFont="1"/>
    <xf numFmtId="10" fontId="0" fillId="0" borderId="0" xfId="3" applyNumberFormat="1" applyFont="1"/>
    <xf numFmtId="0" fontId="3" fillId="4" borderId="0" xfId="0" applyFont="1" applyFill="1"/>
    <xf numFmtId="44" fontId="3" fillId="4" borderId="0" xfId="0" applyNumberFormat="1" applyFont="1" applyFill="1"/>
    <xf numFmtId="9" fontId="3" fillId="4" borderId="0" xfId="3" applyFont="1" applyFill="1"/>
    <xf numFmtId="164" fontId="3" fillId="4" borderId="0" xfId="3" applyNumberFormat="1" applyFont="1" applyFill="1"/>
    <xf numFmtId="164" fontId="3" fillId="0" borderId="1" xfId="3" applyNumberFormat="1" applyFont="1" applyBorder="1"/>
    <xf numFmtId="0" fontId="4" fillId="0" borderId="0" xfId="0" applyFont="1"/>
    <xf numFmtId="165" fontId="2" fillId="0" borderId="0" xfId="2" applyNumberFormat="1" applyFont="1" applyBorder="1" applyAlignment="1"/>
    <xf numFmtId="0" fontId="7" fillId="5" borderId="1" xfId="0" applyFont="1" applyFill="1" applyBorder="1" applyAlignment="1">
      <alignment horizontal="center"/>
    </xf>
    <xf numFmtId="0" fontId="7" fillId="5" borderId="1" xfId="0" applyFont="1" applyFill="1" applyBorder="1" applyAlignment="1">
      <alignment horizontal="center" wrapText="1"/>
    </xf>
    <xf numFmtId="10" fontId="0" fillId="0" borderId="0" xfId="0" applyNumberFormat="1"/>
    <xf numFmtId="0" fontId="5" fillId="0" borderId="0" xfId="0" applyFont="1"/>
    <xf numFmtId="0" fontId="2" fillId="0" borderId="0" xfId="0" applyFont="1"/>
    <xf numFmtId="164" fontId="2" fillId="0" borderId="1" xfId="0" applyNumberFormat="1" applyFont="1" applyBorder="1"/>
    <xf numFmtId="164" fontId="2" fillId="0" borderId="0" xfId="0" applyNumberFormat="1" applyFont="1"/>
    <xf numFmtId="0" fontId="2" fillId="0" borderId="0" xfId="0" applyFont="1" applyAlignment="1">
      <alignment wrapText="1"/>
    </xf>
    <xf numFmtId="0" fontId="3" fillId="0" borderId="5" xfId="0" applyFont="1" applyBorder="1" applyAlignment="1">
      <alignment horizontal="center"/>
    </xf>
    <xf numFmtId="0" fontId="12" fillId="0" borderId="0" xfId="0" applyFont="1" applyAlignment="1">
      <alignment horizontal="left"/>
    </xf>
    <xf numFmtId="44" fontId="0" fillId="0" borderId="0" xfId="0" applyNumberFormat="1"/>
    <xf numFmtId="166" fontId="0" fillId="0" borderId="0" xfId="2" applyNumberFormat="1" applyFont="1"/>
    <xf numFmtId="0" fontId="15" fillId="0" borderId="0" xfId="0" applyFont="1"/>
    <xf numFmtId="0" fontId="3" fillId="3" borderId="12" xfId="0" applyFont="1" applyFill="1" applyBorder="1" applyAlignment="1">
      <alignment horizontal="center"/>
    </xf>
    <xf numFmtId="0" fontId="3" fillId="2" borderId="13" xfId="0" applyFont="1" applyFill="1" applyBorder="1" applyAlignment="1">
      <alignment horizontal="center"/>
    </xf>
    <xf numFmtId="0" fontId="3" fillId="2" borderId="15" xfId="0" applyFont="1" applyFill="1" applyBorder="1" applyAlignment="1">
      <alignment horizontal="center" wrapText="1"/>
    </xf>
    <xf numFmtId="0" fontId="16" fillId="6" borderId="1" xfId="0" applyFont="1" applyFill="1" applyBorder="1" applyAlignment="1">
      <alignment horizontal="center"/>
    </xf>
    <xf numFmtId="0" fontId="16" fillId="6" borderId="16" xfId="0" applyFont="1" applyFill="1" applyBorder="1" applyAlignment="1">
      <alignment horizontal="center" wrapText="1"/>
    </xf>
    <xf numFmtId="0" fontId="3" fillId="3" borderId="6" xfId="0" applyFont="1" applyFill="1" applyBorder="1" applyAlignment="1">
      <alignment horizontal="center" wrapText="1"/>
    </xf>
    <xf numFmtId="0" fontId="2" fillId="0" borderId="12" xfId="0" applyFont="1" applyBorder="1"/>
    <xf numFmtId="0" fontId="2" fillId="0" borderId="17" xfId="0" applyFont="1" applyBorder="1"/>
    <xf numFmtId="164" fontId="2" fillId="0" borderId="16" xfId="3" applyNumberFormat="1" applyFont="1" applyBorder="1"/>
    <xf numFmtId="164" fontId="2" fillId="0" borderId="6" xfId="0" applyNumberFormat="1" applyFont="1" applyBorder="1"/>
    <xf numFmtId="43" fontId="2" fillId="0" borderId="18" xfId="1" applyFont="1" applyBorder="1"/>
    <xf numFmtId="44" fontId="2" fillId="0" borderId="19" xfId="2" applyFont="1" applyBorder="1"/>
    <xf numFmtId="43" fontId="2" fillId="0" borderId="20" xfId="1" applyFont="1" applyBorder="1"/>
    <xf numFmtId="44" fontId="2" fillId="0" borderId="21" xfId="2" applyFont="1" applyBorder="1"/>
    <xf numFmtId="164" fontId="2" fillId="0" borderId="22" xfId="3" applyNumberFormat="1" applyFont="1" applyBorder="1"/>
    <xf numFmtId="43" fontId="2" fillId="0" borderId="0" xfId="1" applyFont="1" applyBorder="1"/>
    <xf numFmtId="44" fontId="2" fillId="0" borderId="0" xfId="2" applyFont="1" applyBorder="1"/>
    <xf numFmtId="164" fontId="2" fillId="0" borderId="0" xfId="3" applyNumberFormat="1" applyFont="1" applyBorder="1"/>
    <xf numFmtId="164" fontId="3" fillId="4" borderId="0" xfId="0" applyNumberFormat="1" applyFont="1" applyFill="1"/>
    <xf numFmtId="44" fontId="3" fillId="4" borderId="0" xfId="2" applyFont="1" applyFill="1"/>
    <xf numFmtId="0" fontId="3" fillId="0" borderId="0" xfId="0" applyFont="1"/>
    <xf numFmtId="44" fontId="3" fillId="0" borderId="0" xfId="0" applyNumberFormat="1" applyFont="1"/>
    <xf numFmtId="164" fontId="3" fillId="0" borderId="0" xfId="0" applyNumberFormat="1" applyFont="1"/>
    <xf numFmtId="44" fontId="3" fillId="0" borderId="0" xfId="2" applyFont="1" applyFill="1"/>
    <xf numFmtId="0" fontId="3" fillId="0" borderId="1" xfId="0" applyFont="1" applyBorder="1"/>
    <xf numFmtId="0" fontId="4" fillId="0" borderId="0" xfId="0" applyFont="1" applyAlignment="1">
      <alignment horizontal="left"/>
    </xf>
    <xf numFmtId="43" fontId="2" fillId="0" borderId="24" xfId="1" applyFont="1" applyBorder="1"/>
    <xf numFmtId="164" fontId="2" fillId="0" borderId="25" xfId="3" applyNumberFormat="1" applyFont="1" applyBorder="1"/>
    <xf numFmtId="9" fontId="2" fillId="0" borderId="19" xfId="3" applyFont="1" applyBorder="1"/>
    <xf numFmtId="164" fontId="2" fillId="0" borderId="19" xfId="3" applyNumberFormat="1" applyFont="1" applyBorder="1"/>
    <xf numFmtId="43" fontId="2" fillId="0" borderId="27" xfId="1" applyFont="1" applyBorder="1"/>
    <xf numFmtId="0" fontId="3" fillId="2" borderId="26" xfId="0" applyFont="1" applyFill="1" applyBorder="1" applyAlignment="1">
      <alignment horizontal="center" wrapText="1"/>
    </xf>
    <xf numFmtId="0" fontId="16" fillId="6" borderId="6" xfId="0" applyFont="1" applyFill="1" applyBorder="1" applyAlignment="1">
      <alignment horizontal="center" wrapText="1"/>
    </xf>
    <xf numFmtId="0" fontId="3" fillId="2" borderId="14" xfId="0" applyFont="1" applyFill="1" applyBorder="1" applyAlignment="1">
      <alignment horizontal="center" wrapText="1"/>
    </xf>
    <xf numFmtId="44" fontId="2" fillId="0" borderId="6" xfId="2" applyFont="1" applyBorder="1"/>
    <xf numFmtId="165" fontId="19" fillId="0" borderId="0" xfId="2" applyNumberFormat="1" applyFont="1"/>
    <xf numFmtId="0" fontId="2" fillId="0" borderId="1" xfId="0" applyFont="1" applyBorder="1" applyAlignment="1">
      <alignment horizontal="center"/>
    </xf>
    <xf numFmtId="0" fontId="2" fillId="0" borderId="1" xfId="0" applyFont="1" applyBorder="1" applyAlignment="1">
      <alignment horizontal="center" vertical="center"/>
    </xf>
    <xf numFmtId="167" fontId="2" fillId="0" borderId="1" xfId="1" applyNumberFormat="1" applyFont="1" applyBorder="1"/>
    <xf numFmtId="44" fontId="2" fillId="0" borderId="0" xfId="0" applyNumberFormat="1" applyFont="1"/>
    <xf numFmtId="43" fontId="2" fillId="0" borderId="1" xfId="0" applyNumberFormat="1" applyFont="1" applyBorder="1"/>
    <xf numFmtId="0" fontId="7" fillId="5" borderId="12" xfId="0" applyFont="1" applyFill="1" applyBorder="1" applyAlignment="1">
      <alignment horizontal="center"/>
    </xf>
    <xf numFmtId="0" fontId="7" fillId="5" borderId="1" xfId="0" applyFont="1" applyFill="1" applyBorder="1" applyAlignment="1">
      <alignment horizontal="center" vertical="center" wrapText="1"/>
    </xf>
    <xf numFmtId="0" fontId="7" fillId="5" borderId="12" xfId="0" applyFont="1" applyFill="1" applyBorder="1" applyAlignment="1">
      <alignment horizontal="center" vertical="center" wrapText="1"/>
    </xf>
    <xf numFmtId="164" fontId="3" fillId="0" borderId="0" xfId="3" applyNumberFormat="1" applyFont="1" applyFill="1" applyBorder="1"/>
    <xf numFmtId="9" fontId="3" fillId="0" borderId="0" xfId="3" applyFont="1" applyFill="1"/>
    <xf numFmtId="0" fontId="13" fillId="0" borderId="0" xfId="0" applyFont="1"/>
    <xf numFmtId="168" fontId="18" fillId="0" borderId="0" xfId="0" applyNumberFormat="1" applyFont="1"/>
    <xf numFmtId="44" fontId="11" fillId="4" borderId="1" xfId="2" applyFont="1" applyFill="1" applyBorder="1" applyProtection="1">
      <protection locked="0"/>
    </xf>
    <xf numFmtId="165" fontId="7" fillId="5" borderId="2" xfId="2" applyNumberFormat="1" applyFont="1" applyFill="1" applyBorder="1" applyAlignment="1" applyProtection="1">
      <protection locked="0"/>
    </xf>
    <xf numFmtId="0" fontId="21" fillId="0" borderId="0" xfId="0" applyFont="1"/>
    <xf numFmtId="0" fontId="22" fillId="0" borderId="0" xfId="0" applyFont="1" applyAlignment="1">
      <alignment vertical="center" wrapText="1"/>
    </xf>
    <xf numFmtId="0" fontId="26" fillId="0" borderId="0" xfId="0" applyFont="1"/>
    <xf numFmtId="0" fontId="27" fillId="0" borderId="0" xfId="0" applyFont="1"/>
    <xf numFmtId="0" fontId="23" fillId="7" borderId="0" xfId="0" applyFont="1" applyFill="1" applyAlignment="1">
      <alignment vertical="center"/>
    </xf>
    <xf numFmtId="0" fontId="24" fillId="7" borderId="0" xfId="0" applyFont="1" applyFill="1" applyAlignment="1">
      <alignment vertical="center"/>
    </xf>
    <xf numFmtId="0" fontId="23" fillId="3" borderId="0" xfId="0" applyFont="1" applyFill="1" applyAlignment="1">
      <alignment vertical="center"/>
    </xf>
    <xf numFmtId="0" fontId="24" fillId="3" borderId="0" xfId="0" applyFont="1" applyFill="1" applyAlignment="1">
      <alignment vertical="center"/>
    </xf>
    <xf numFmtId="0" fontId="30" fillId="0" borderId="0" xfId="0" applyFont="1"/>
    <xf numFmtId="165" fontId="31" fillId="6" borderId="29" xfId="2" applyNumberFormat="1" applyFont="1" applyFill="1" applyBorder="1" applyAlignment="1">
      <alignment horizontal="left" vertical="center"/>
    </xf>
    <xf numFmtId="43" fontId="0" fillId="0" borderId="0" xfId="0" applyNumberFormat="1"/>
    <xf numFmtId="10" fontId="3" fillId="0" borderId="0" xfId="0" applyNumberFormat="1" applyFont="1"/>
    <xf numFmtId="0" fontId="28" fillId="0" borderId="0" xfId="0" applyFont="1" applyAlignment="1">
      <alignment wrapText="1"/>
    </xf>
    <xf numFmtId="0" fontId="11" fillId="4" borderId="17" xfId="0" applyFont="1" applyFill="1" applyBorder="1" applyProtection="1">
      <protection locked="0"/>
    </xf>
    <xf numFmtId="44" fontId="11" fillId="4" borderId="6" xfId="2" applyFont="1" applyFill="1" applyBorder="1" applyProtection="1">
      <protection locked="0"/>
    </xf>
    <xf numFmtId="44" fontId="11" fillId="4" borderId="1" xfId="0" applyNumberFormat="1" applyFont="1" applyFill="1" applyBorder="1" applyProtection="1">
      <protection locked="0"/>
    </xf>
    <xf numFmtId="0" fontId="13" fillId="0" borderId="0" xfId="0" applyFont="1" applyAlignment="1">
      <alignment horizontal="left" wrapText="1"/>
    </xf>
    <xf numFmtId="0" fontId="31" fillId="6" borderId="29" xfId="0" applyFont="1" applyFill="1" applyBorder="1" applyAlignment="1">
      <alignment horizontal="center"/>
    </xf>
    <xf numFmtId="167" fontId="2" fillId="0" borderId="0" xfId="1" applyNumberFormat="1" applyFont="1" applyBorder="1"/>
    <xf numFmtId="0" fontId="7" fillId="6" borderId="4" xfId="0" applyFont="1" applyFill="1" applyBorder="1"/>
    <xf numFmtId="44" fontId="7" fillId="6" borderId="4" xfId="2" applyFont="1" applyFill="1" applyBorder="1"/>
    <xf numFmtId="9" fontId="31" fillId="6" borderId="29" xfId="3" applyFont="1" applyFill="1" applyBorder="1" applyAlignment="1">
      <alignment horizontal="right" vertical="center"/>
    </xf>
    <xf numFmtId="164" fontId="3" fillId="0" borderId="0" xfId="0" applyNumberFormat="1" applyFont="1" applyAlignment="1">
      <alignment horizontal="center"/>
    </xf>
    <xf numFmtId="164" fontId="2" fillId="4" borderId="0" xfId="0" applyNumberFormat="1" applyFont="1" applyFill="1"/>
    <xf numFmtId="167" fontId="2" fillId="0" borderId="20" xfId="1" applyNumberFormat="1" applyFont="1" applyBorder="1"/>
    <xf numFmtId="169" fontId="0" fillId="0" borderId="0" xfId="3" applyNumberFormat="1" applyFont="1"/>
    <xf numFmtId="164" fontId="2" fillId="4" borderId="0" xfId="0" applyNumberFormat="1" applyFont="1" applyFill="1" applyAlignment="1">
      <alignment horizontal="right"/>
    </xf>
    <xf numFmtId="164" fontId="2" fillId="0" borderId="0" xfId="0" applyNumberFormat="1" applyFont="1" applyAlignment="1">
      <alignment horizontal="right"/>
    </xf>
    <xf numFmtId="10" fontId="18" fillId="0" borderId="0" xfId="3" applyNumberFormat="1" applyFont="1"/>
    <xf numFmtId="10" fontId="34" fillId="0" borderId="0" xfId="3" applyNumberFormat="1" applyFont="1"/>
    <xf numFmtId="165" fontId="31" fillId="6" borderId="29" xfId="2" applyNumberFormat="1" applyFont="1" applyFill="1" applyBorder="1" applyAlignment="1">
      <alignment horizontal="right" vertical="center"/>
    </xf>
    <xf numFmtId="0" fontId="32" fillId="0" borderId="0" xfId="0" applyFont="1" applyAlignment="1">
      <alignment horizontal="left" vertical="center" wrapText="1"/>
    </xf>
    <xf numFmtId="0" fontId="38" fillId="0" borderId="0" xfId="0" applyFont="1"/>
    <xf numFmtId="10" fontId="37" fillId="0" borderId="0" xfId="3" applyNumberFormat="1" applyFont="1"/>
    <xf numFmtId="43" fontId="37" fillId="0" borderId="30" xfId="0" applyNumberFormat="1" applyFont="1" applyBorder="1"/>
    <xf numFmtId="0" fontId="7" fillId="3" borderId="0" xfId="0" applyFont="1" applyFill="1" applyAlignment="1">
      <alignment horizontal="center"/>
    </xf>
    <xf numFmtId="43" fontId="39" fillId="0" borderId="0" xfId="0" applyNumberFormat="1" applyFont="1"/>
    <xf numFmtId="2" fontId="2" fillId="0" borderId="1" xfId="0" applyNumberFormat="1" applyFont="1" applyBorder="1"/>
    <xf numFmtId="0" fontId="2" fillId="4" borderId="17" xfId="0" applyFont="1" applyFill="1" applyBorder="1" applyProtection="1">
      <protection locked="0"/>
    </xf>
    <xf numFmtId="0" fontId="3" fillId="3" borderId="1" xfId="0" applyFont="1" applyFill="1" applyBorder="1" applyAlignment="1">
      <alignment horizontal="center" vertical="center" wrapText="1"/>
    </xf>
    <xf numFmtId="0" fontId="40" fillId="0" borderId="0" xfId="0" applyFont="1"/>
    <xf numFmtId="43" fontId="40" fillId="0" borderId="30" xfId="0" applyNumberFormat="1" applyFont="1" applyBorder="1"/>
    <xf numFmtId="10" fontId="40" fillId="0" borderId="0" xfId="3" applyNumberFormat="1" applyFont="1"/>
    <xf numFmtId="0" fontId="3" fillId="2" borderId="8" xfId="0" applyFont="1" applyFill="1" applyBorder="1"/>
    <xf numFmtId="15" fontId="3" fillId="2" borderId="7" xfId="0" applyNumberFormat="1" applyFont="1" applyFill="1" applyBorder="1"/>
    <xf numFmtId="0" fontId="41" fillId="0" borderId="0" xfId="0" applyFont="1"/>
    <xf numFmtId="15" fontId="42" fillId="8" borderId="0" xfId="0" applyNumberFormat="1" applyFont="1" applyFill="1" applyAlignment="1">
      <alignment horizontal="left" vertical="center"/>
    </xf>
    <xf numFmtId="0" fontId="42" fillId="0" borderId="0" xfId="0" applyFont="1"/>
    <xf numFmtId="164" fontId="41" fillId="0" borderId="0" xfId="3" applyNumberFormat="1" applyFont="1"/>
    <xf numFmtId="15" fontId="44" fillId="8" borderId="0" xfId="0" applyNumberFormat="1" applyFont="1" applyFill="1" applyAlignment="1">
      <alignment horizontal="left" vertical="center"/>
    </xf>
    <xf numFmtId="0" fontId="24" fillId="0" borderId="0" xfId="0" applyFont="1"/>
    <xf numFmtId="164" fontId="43" fillId="0" borderId="0" xfId="3" applyNumberFormat="1" applyFont="1"/>
    <xf numFmtId="2" fontId="11" fillId="4" borderId="18" xfId="2" applyNumberFormat="1" applyFont="1" applyFill="1" applyBorder="1" applyProtection="1">
      <protection locked="0"/>
    </xf>
    <xf numFmtId="167" fontId="2" fillId="0" borderId="1" xfId="0" applyNumberFormat="1" applyFont="1" applyBorder="1"/>
    <xf numFmtId="2" fontId="2" fillId="0" borderId="1" xfId="1" applyNumberFormat="1" applyFont="1" applyBorder="1"/>
    <xf numFmtId="164" fontId="2" fillId="0" borderId="31" xfId="3" applyNumberFormat="1" applyFont="1" applyBorder="1"/>
    <xf numFmtId="165" fontId="20" fillId="4" borderId="2" xfId="2" applyNumberFormat="1" applyFont="1" applyFill="1" applyBorder="1" applyAlignment="1" applyProtection="1">
      <protection locked="0"/>
    </xf>
    <xf numFmtId="0" fontId="32" fillId="0" borderId="0" xfId="0" applyFont="1" applyAlignment="1">
      <alignment horizontal="left" vertical="center" wrapText="1"/>
    </xf>
    <xf numFmtId="0" fontId="23" fillId="7" borderId="0" xfId="0" applyFont="1" applyFill="1" applyAlignment="1">
      <alignment horizontal="left" vertical="center" wrapText="1"/>
    </xf>
    <xf numFmtId="0" fontId="23" fillId="3" borderId="0" xfId="0" applyFont="1" applyFill="1" applyAlignment="1">
      <alignment horizontal="left" vertical="center" wrapText="1"/>
    </xf>
    <xf numFmtId="0" fontId="29" fillId="6" borderId="0" xfId="0" applyFont="1" applyFill="1" applyAlignment="1">
      <alignment horizontal="left" vertical="center" wrapText="1"/>
    </xf>
    <xf numFmtId="0" fontId="26" fillId="4" borderId="0" xfId="0" applyFont="1" applyFill="1" applyAlignment="1">
      <alignment horizontal="left"/>
    </xf>
    <xf numFmtId="0" fontId="32" fillId="0" borderId="0" xfId="0" applyFont="1" applyAlignment="1">
      <alignment horizontal="left" wrapText="1"/>
    </xf>
    <xf numFmtId="0" fontId="32" fillId="0" borderId="0" xfId="0" applyFont="1" applyAlignment="1">
      <alignment horizontal="left"/>
    </xf>
    <xf numFmtId="0" fontId="2" fillId="0" borderId="28" xfId="0" applyFont="1" applyBorder="1" applyAlignment="1">
      <alignment horizontal="center" vertical="center" wrapText="1"/>
    </xf>
    <xf numFmtId="0" fontId="2" fillId="0" borderId="6" xfId="0" applyFont="1" applyBorder="1" applyAlignment="1">
      <alignment horizontal="center" vertical="center" wrapText="1"/>
    </xf>
    <xf numFmtId="0" fontId="13" fillId="2" borderId="0" xfId="0" applyFont="1" applyFill="1" applyAlignment="1">
      <alignment horizontal="left" wrapText="1"/>
    </xf>
    <xf numFmtId="0" fontId="13" fillId="2" borderId="0" xfId="0" applyFont="1" applyFill="1" applyAlignment="1">
      <alignment horizontal="left"/>
    </xf>
    <xf numFmtId="0" fontId="17" fillId="6" borderId="0" xfId="0" applyFont="1" applyFill="1" applyAlignment="1">
      <alignment horizontal="left"/>
    </xf>
    <xf numFmtId="0" fontId="8" fillId="5" borderId="3" xfId="0" applyFont="1" applyFill="1" applyBorder="1" applyAlignment="1">
      <alignment horizontal="left"/>
    </xf>
    <xf numFmtId="0" fontId="6" fillId="0" borderId="0" xfId="0" applyFont="1" applyAlignment="1">
      <alignment horizontal="left"/>
    </xf>
    <xf numFmtId="0" fontId="14" fillId="0" borderId="2" xfId="0" applyFont="1" applyBorder="1" applyAlignment="1">
      <alignment horizontal="left"/>
    </xf>
    <xf numFmtId="0" fontId="28" fillId="2" borderId="0" xfId="0" applyFont="1" applyFill="1" applyAlignment="1">
      <alignment horizontal="left" wrapText="1"/>
    </xf>
    <xf numFmtId="0" fontId="28" fillId="2" borderId="0" xfId="0" applyFont="1" applyFill="1" applyAlignment="1">
      <alignment horizontal="left"/>
    </xf>
    <xf numFmtId="0" fontId="16" fillId="6" borderId="9" xfId="0" applyFont="1" applyFill="1" applyBorder="1" applyAlignment="1">
      <alignment horizontal="center"/>
    </xf>
    <xf numFmtId="0" fontId="16" fillId="6" borderId="10" xfId="0" applyFont="1" applyFill="1" applyBorder="1" applyAlignment="1">
      <alignment horizontal="center"/>
    </xf>
    <xf numFmtId="0" fontId="16" fillId="6" borderId="11" xfId="0" applyFont="1" applyFill="1" applyBorder="1" applyAlignment="1">
      <alignment horizontal="center"/>
    </xf>
    <xf numFmtId="0" fontId="16" fillId="0" borderId="0" xfId="0" applyFont="1" applyAlignment="1">
      <alignment horizontal="center"/>
    </xf>
    <xf numFmtId="0" fontId="3" fillId="2" borderId="7" xfId="0" applyFont="1" applyFill="1" applyBorder="1" applyAlignment="1">
      <alignment horizontal="center"/>
    </xf>
    <xf numFmtId="0" fontId="3" fillId="2" borderId="8" xfId="0" applyFont="1" applyFill="1" applyBorder="1" applyAlignment="1">
      <alignment horizontal="center"/>
    </xf>
    <xf numFmtId="0" fontId="3" fillId="2" borderId="23" xfId="0" applyFont="1" applyFill="1" applyBorder="1" applyAlignment="1">
      <alignment horizontal="center"/>
    </xf>
    <xf numFmtId="0" fontId="8" fillId="5" borderId="0" xfId="0" applyFont="1" applyFill="1" applyAlignment="1">
      <alignment horizontal="left"/>
    </xf>
  </cellXfs>
  <cellStyles count="4">
    <cellStyle name="Millares" xfId="1" builtinId="3"/>
    <cellStyle name="Moneda" xfId="2" builtinId="4"/>
    <cellStyle name="Normal" xfId="0" builtinId="0"/>
    <cellStyle name="Porcentaje" xfId="3" builtinId="5"/>
  </cellStyles>
  <dxfs count="31">
    <dxf>
      <font>
        <color theme="4" tint="-0.24994659260841701"/>
      </font>
      <fill>
        <patternFill>
          <bgColor theme="8" tint="0.79998168889431442"/>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theme="4" tint="-0.24994659260841701"/>
      </font>
      <fill>
        <patternFill>
          <bgColor theme="8" tint="0.79998168889431442"/>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theme="4" tint="-0.24994659260841701"/>
      </font>
      <fill>
        <patternFill>
          <bgColor theme="8" tint="0.79998168889431442"/>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theme="0"/>
      </font>
      <fill>
        <patternFill>
          <bgColor rgb="FF7847C9"/>
        </patternFill>
      </fill>
    </dxf>
  </dxfs>
  <tableStyles count="0" defaultTableStyle="TableStyleMedium2" defaultPivotStyle="PivotStyleLight16"/>
  <colors>
    <mruColors>
      <color rgb="FF9FBFFF"/>
      <color rgb="FF7847C9"/>
      <color rgb="FF8F45C7"/>
      <color rgb="FF8C47C5"/>
      <color rgb="FF784FC9"/>
      <color rgb="FFCDACE6"/>
      <color rgb="FFF325C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microsoft.com/office/2017/10/relationships/person" Target="persons/person.xml"/><Relationship Id="rId5" Type="http://schemas.openxmlformats.org/officeDocument/2006/relationships/worksheet" Target="worksheets/sheet5.xml"/><Relationship Id="rId10" Type="http://schemas.openxmlformats.org/officeDocument/2006/relationships/sheetMetadata" Target="metadata.xml"/><Relationship Id="rId4" Type="http://schemas.openxmlformats.org/officeDocument/2006/relationships/worksheet" Target="worksheets/sheet4.xml"/><Relationship Id="rId9" Type="http://schemas.openxmlformats.org/officeDocument/2006/relationships/sharedStrings" Target="sharedString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349366655255049"/>
          <c:y val="7.3743824967343066E-2"/>
          <c:w val="0.83489763779527559"/>
          <c:h val="0.80242268195563005"/>
        </c:manualLayout>
      </c:layout>
      <c:lineChart>
        <c:grouping val="standard"/>
        <c:varyColors val="0"/>
        <c:ser>
          <c:idx val="0"/>
          <c:order val="0"/>
          <c:tx>
            <c:strRef>
              <c:f>Estrategia!$B$21</c:f>
              <c:strCache>
                <c:ptCount val="1"/>
                <c:pt idx="0">
                  <c:v>PORTAFOLIO</c:v>
                </c:pt>
              </c:strCache>
            </c:strRef>
          </c:tx>
          <c:spPr>
            <a:ln w="34925" cap="rnd">
              <a:solidFill>
                <a:srgbClr val="7847C9"/>
              </a:solidFill>
              <a:round/>
            </a:ln>
            <a:effectLst>
              <a:outerShdw blurRad="57150" dist="19050" dir="5400000" algn="ctr" rotWithShape="0">
                <a:srgbClr val="000000">
                  <a:alpha val="63000"/>
                </a:srgbClr>
              </a:outerShdw>
            </a:effectLst>
          </c:spPr>
          <c:marker>
            <c:symbol val="none"/>
          </c:marker>
          <c:dLbls>
            <c:dLbl>
              <c:idx val="7"/>
              <c:layout>
                <c:manualLayout>
                  <c:x val="-9.5652173913043564E-2"/>
                  <c:y val="-5.7033921140085639E-2"/>
                </c:manualLayout>
              </c:layout>
              <c:tx>
                <c:rich>
                  <a:bodyPr rot="0" spcFirstLastPara="1" vertOverflow="clip" horzOverflow="clip" vert="horz" wrap="square" lIns="38100" tIns="19050" rIns="38100" bIns="19050" anchor="ctr" anchorCtr="0">
                    <a:noAutofit/>
                  </a:bodyPr>
                  <a:lstStyle/>
                  <a:p>
                    <a:pPr algn="ctr" rtl="0">
                      <a:defRPr lang="en-US" sz="800" b="0" i="0" u="none" strike="noStrike" kern="1200" baseline="0">
                        <a:solidFill>
                          <a:srgbClr val="002060"/>
                        </a:solidFill>
                        <a:latin typeface="BrowalliaUPC" panose="020B0604020202020204" pitchFamily="34" charset="-34"/>
                        <a:ea typeface="+mn-ea"/>
                        <a:cs typeface="BrowalliaUPC" panose="020B0604020202020204" pitchFamily="34" charset="-34"/>
                      </a:defRPr>
                    </a:pPr>
                    <a:fld id="{8AF54408-5FBE-4F0F-8DD3-C3B97A16C9CE}" type="SERIESNAME">
                      <a:rPr lang="en-US" sz="800" b="0" i="0" u="none" strike="noStrike" kern="1200" baseline="0">
                        <a:solidFill>
                          <a:srgbClr val="002060"/>
                        </a:solidFill>
                        <a:latin typeface="BrowalliaUPC" panose="020B0604020202020204" pitchFamily="34" charset="-34"/>
                        <a:ea typeface="+mn-ea"/>
                        <a:cs typeface="BrowalliaUPC" panose="020B0604020202020204" pitchFamily="34" charset="-34"/>
                      </a:rPr>
                      <a:pPr algn="ctr" rtl="0">
                        <a:defRPr lang="en-US" sz="800">
                          <a:solidFill>
                            <a:srgbClr val="002060"/>
                          </a:solidFill>
                          <a:latin typeface="BrowalliaUPC" panose="020B0604020202020204" pitchFamily="34" charset="-34"/>
                          <a:cs typeface="BrowalliaUPC" panose="020B0604020202020204" pitchFamily="34" charset="-34"/>
                        </a:defRPr>
                      </a:pPr>
                      <a:t>[NOMBRE DE LA SERIE]</a:t>
                    </a:fld>
                    <a:r>
                      <a:rPr lang="en-US" sz="800" b="0" i="0" u="none" strike="noStrike" kern="1200" baseline="0">
                        <a:solidFill>
                          <a:srgbClr val="002060"/>
                        </a:solidFill>
                        <a:latin typeface="BrowalliaUPC" panose="020B0604020202020204" pitchFamily="34" charset="-34"/>
                        <a:ea typeface="+mn-ea"/>
                        <a:cs typeface="BrowalliaUPC" panose="020B0604020202020204" pitchFamily="34" charset="-34"/>
                      </a:rPr>
                      <a:t>, </a:t>
                    </a:r>
                    <a:fld id="{C519B435-7D15-46BD-8B58-809C22EE5237}" type="VALUE">
                      <a:rPr lang="en-US" sz="800" b="0" i="0" u="none" strike="noStrike" kern="1200" baseline="0">
                        <a:solidFill>
                          <a:srgbClr val="002060"/>
                        </a:solidFill>
                        <a:latin typeface="BrowalliaUPC" panose="020B0604020202020204" pitchFamily="34" charset="-34"/>
                        <a:ea typeface="+mn-ea"/>
                        <a:cs typeface="BrowalliaUPC" panose="020B0604020202020204" pitchFamily="34" charset="-34"/>
                      </a:rPr>
                      <a:pPr algn="ctr" rtl="0">
                        <a:defRPr lang="en-US" sz="800">
                          <a:solidFill>
                            <a:srgbClr val="002060"/>
                          </a:solidFill>
                          <a:latin typeface="BrowalliaUPC" panose="020B0604020202020204" pitchFamily="34" charset="-34"/>
                          <a:cs typeface="BrowalliaUPC" panose="020B0604020202020204" pitchFamily="34" charset="-34"/>
                        </a:defRPr>
                      </a:pPr>
                      <a:t>[VALOR]</a:t>
                    </a:fld>
                    <a:endParaRPr lang="en-US" sz="800" b="0" i="0" u="none" strike="noStrike" kern="1200" baseline="0">
                      <a:solidFill>
                        <a:srgbClr val="002060"/>
                      </a:solidFill>
                      <a:latin typeface="BrowalliaUPC" panose="020B0604020202020204" pitchFamily="34" charset="-34"/>
                      <a:ea typeface="+mn-ea"/>
                      <a:cs typeface="BrowalliaUPC" panose="020B0604020202020204" pitchFamily="34" charset="-34"/>
                    </a:endParaRPr>
                  </a:p>
                </c:rich>
              </c:tx>
              <c:spPr>
                <a:solidFill>
                  <a:sysClr val="window" lastClr="FFFFFF"/>
                </a:solidFill>
                <a:ln>
                  <a:solidFill>
                    <a:srgbClr val="784FC9"/>
                  </a:solidFill>
                </a:ln>
                <a:effectLst/>
              </c:spPr>
              <c:txPr>
                <a:bodyPr rot="0" spcFirstLastPara="1" vertOverflow="clip" horzOverflow="clip" vert="horz" wrap="square" lIns="38100" tIns="19050" rIns="38100" bIns="19050" anchor="ctr" anchorCtr="0">
                  <a:noAutofit/>
                </a:bodyPr>
                <a:lstStyle/>
                <a:p>
                  <a:pPr algn="ctr" rtl="0">
                    <a:defRPr lang="en-US" sz="8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showLegendKey val="0"/>
              <c:showVal val="1"/>
              <c:showCatName val="0"/>
              <c:showSerName val="1"/>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15:layout>
                    <c:manualLayout>
                      <c:w val="0.26868777815816502"/>
                      <c:h val="0.10809496721655039"/>
                    </c:manualLayout>
                  </c15:layout>
                  <c15:dlblFieldTable/>
                  <c15:showDataLabelsRange val="0"/>
                </c:ext>
                <c:ext xmlns:c16="http://schemas.microsoft.com/office/drawing/2014/chart" uri="{C3380CC4-5D6E-409C-BE32-E72D297353CC}">
                  <c16:uniqueId val="{00000000-1EEB-4AE4-889D-0894FBF69067}"/>
                </c:ext>
              </c:extLst>
            </c:dLbl>
            <c:spPr>
              <a:solidFill>
                <a:sysClr val="window" lastClr="FFFFFF"/>
              </a:solidFill>
              <a:ln>
                <a:no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numRef>
              <c:f>Estrategia!$C$20:$J$20</c:f>
              <c:numCache>
                <c:formatCode>d\-mmm\-yy</c:formatCode>
                <c:ptCount val="8"/>
                <c:pt idx="0">
                  <c:v>44501</c:v>
                </c:pt>
                <c:pt idx="1">
                  <c:v>44683</c:v>
                </c:pt>
                <c:pt idx="2">
                  <c:v>44866</c:v>
                </c:pt>
                <c:pt idx="3">
                  <c:v>45048</c:v>
                </c:pt>
                <c:pt idx="4">
                  <c:v>45231</c:v>
                </c:pt>
                <c:pt idx="5">
                  <c:v>45414</c:v>
                </c:pt>
                <c:pt idx="6">
                  <c:v>45597</c:v>
                </c:pt>
                <c:pt idx="7">
                  <c:v>45779</c:v>
                </c:pt>
              </c:numCache>
            </c:numRef>
          </c:cat>
          <c:val>
            <c:numRef>
              <c:f>Estrategia!$C$21:$J$21</c:f>
              <c:numCache>
                <c:formatCode>0.0%</c:formatCode>
                <c:ptCount val="8"/>
                <c:pt idx="0">
                  <c:v>0</c:v>
                </c:pt>
                <c:pt idx="1">
                  <c:v>0.10218792991590518</c:v>
                </c:pt>
                <c:pt idx="2">
                  <c:v>0.13044295894848623</c:v>
                </c:pt>
                <c:pt idx="3">
                  <c:v>0.30968754635838774</c:v>
                </c:pt>
                <c:pt idx="4">
                  <c:v>0.27654211571009446</c:v>
                </c:pt>
                <c:pt idx="5">
                  <c:v>0.48066120378886246</c:v>
                </c:pt>
                <c:pt idx="6">
                  <c:v>0.44127033151376255</c:v>
                </c:pt>
                <c:pt idx="7">
                  <c:v>0.55306347562263924</c:v>
                </c:pt>
              </c:numCache>
            </c:numRef>
          </c:val>
          <c:smooth val="0"/>
          <c:extLst>
            <c:ext xmlns:c16="http://schemas.microsoft.com/office/drawing/2014/chart" uri="{C3380CC4-5D6E-409C-BE32-E72D297353CC}">
              <c16:uniqueId val="{00000000-5A5A-4C8D-8EC2-42D5E6DF4B4E}"/>
            </c:ext>
          </c:extLst>
        </c:ser>
        <c:ser>
          <c:idx val="1"/>
          <c:order val="1"/>
          <c:tx>
            <c:strRef>
              <c:f>Estrategia!$B$22</c:f>
              <c:strCache>
                <c:ptCount val="1"/>
                <c:pt idx="0">
                  <c:v>IPC IRT</c:v>
                </c:pt>
              </c:strCache>
            </c:strRef>
          </c:tx>
          <c:spPr>
            <a:ln w="34925" cap="rnd">
              <a:solidFill>
                <a:schemeClr val="accent2"/>
              </a:solidFill>
              <a:round/>
            </a:ln>
            <a:effectLst>
              <a:outerShdw blurRad="57150" dist="19050" dir="5400000" algn="ctr" rotWithShape="0">
                <a:srgbClr val="000000">
                  <a:alpha val="63000"/>
                </a:srgbClr>
              </a:outerShdw>
            </a:effectLst>
          </c:spPr>
          <c:marker>
            <c:symbol val="none"/>
          </c:marker>
          <c:dLbls>
            <c:dLbl>
              <c:idx val="7"/>
              <c:layout>
                <c:manualLayout>
                  <c:x val="-9.5652173913043509E-2"/>
                  <c:y val="-0.10646357893476242"/>
                </c:manualLayout>
              </c:layout>
              <c:tx>
                <c:rich>
                  <a:bodyPr rot="0" spcFirstLastPara="1" vertOverflow="clip" horzOverflow="clip" vert="horz" wrap="square" lIns="38100" tIns="19050" rIns="38100" bIns="19050" anchor="ctr" anchorCtr="0">
                    <a:noAutofit/>
                  </a:bodyPr>
                  <a:lstStyle/>
                  <a:p>
                    <a:pPr algn="ctr" rtl="0">
                      <a:defRPr lang="en-US" sz="800" b="0" i="0" u="none" strike="noStrike" kern="1200" baseline="0">
                        <a:solidFill>
                          <a:srgbClr val="002060"/>
                        </a:solidFill>
                        <a:latin typeface="BrowalliaUPC" panose="020B0604020202020204" pitchFamily="34" charset="-34"/>
                        <a:ea typeface="+mn-ea"/>
                        <a:cs typeface="BrowalliaUPC" panose="020B0604020202020204" pitchFamily="34" charset="-34"/>
                      </a:defRPr>
                    </a:pPr>
                    <a:fld id="{CBCDB81E-D345-487A-B6C1-75E14A59014D}" type="SERIESNAME">
                      <a:rPr lang="en-US" sz="800" b="0" i="0" u="none" strike="noStrike" kern="1200" baseline="0">
                        <a:solidFill>
                          <a:srgbClr val="002060"/>
                        </a:solidFill>
                        <a:latin typeface="BrowalliaUPC" panose="020B0604020202020204" pitchFamily="34" charset="-34"/>
                        <a:ea typeface="+mn-ea"/>
                        <a:cs typeface="BrowalliaUPC" panose="020B0604020202020204" pitchFamily="34" charset="-34"/>
                      </a:rPr>
                      <a:pPr algn="ctr" rtl="0">
                        <a:defRPr lang="en-US" sz="800">
                          <a:solidFill>
                            <a:srgbClr val="002060"/>
                          </a:solidFill>
                          <a:latin typeface="BrowalliaUPC" panose="020B0604020202020204" pitchFamily="34" charset="-34"/>
                          <a:cs typeface="BrowalliaUPC" panose="020B0604020202020204" pitchFamily="34" charset="-34"/>
                        </a:defRPr>
                      </a:pPr>
                      <a:t>[NOMBRE DE LA SERIE]</a:t>
                    </a:fld>
                    <a:r>
                      <a:rPr lang="en-US" sz="800" b="0" i="0" u="none" strike="noStrike" kern="1200" baseline="0">
                        <a:solidFill>
                          <a:srgbClr val="002060"/>
                        </a:solidFill>
                        <a:latin typeface="BrowalliaUPC" panose="020B0604020202020204" pitchFamily="34" charset="-34"/>
                        <a:ea typeface="+mn-ea"/>
                        <a:cs typeface="BrowalliaUPC" panose="020B0604020202020204" pitchFamily="34" charset="-34"/>
                      </a:rPr>
                      <a:t>, </a:t>
                    </a:r>
                    <a:fld id="{22E1E2D8-4BB9-47D7-8A5D-4E6EEACC27D0}" type="VALUE">
                      <a:rPr lang="en-US" sz="800" b="0" i="0" u="none" strike="noStrike" kern="1200" baseline="0">
                        <a:solidFill>
                          <a:srgbClr val="002060"/>
                        </a:solidFill>
                        <a:latin typeface="BrowalliaUPC" panose="020B0604020202020204" pitchFamily="34" charset="-34"/>
                        <a:ea typeface="+mn-ea"/>
                        <a:cs typeface="BrowalliaUPC" panose="020B0604020202020204" pitchFamily="34" charset="-34"/>
                      </a:rPr>
                      <a:pPr algn="ctr" rtl="0">
                        <a:defRPr lang="en-US" sz="800">
                          <a:solidFill>
                            <a:srgbClr val="002060"/>
                          </a:solidFill>
                          <a:latin typeface="BrowalliaUPC" panose="020B0604020202020204" pitchFamily="34" charset="-34"/>
                          <a:cs typeface="BrowalliaUPC" panose="020B0604020202020204" pitchFamily="34" charset="-34"/>
                        </a:defRPr>
                      </a:pPr>
                      <a:t>[VALOR]</a:t>
                    </a:fld>
                    <a:endParaRPr lang="en-US" sz="800" b="0" i="0" u="none" strike="noStrike" kern="1200" baseline="0">
                      <a:solidFill>
                        <a:srgbClr val="002060"/>
                      </a:solidFill>
                      <a:latin typeface="BrowalliaUPC" panose="020B0604020202020204" pitchFamily="34" charset="-34"/>
                      <a:ea typeface="+mn-ea"/>
                      <a:cs typeface="BrowalliaUPC" panose="020B0604020202020204" pitchFamily="34" charset="-34"/>
                    </a:endParaRPr>
                  </a:p>
                </c:rich>
              </c:tx>
              <c:spPr>
                <a:solidFill>
                  <a:sysClr val="window" lastClr="FFFFFF"/>
                </a:solidFill>
                <a:ln>
                  <a:solidFill>
                    <a:srgbClr val="ED7D31"/>
                  </a:solidFill>
                </a:ln>
                <a:effectLst/>
              </c:spPr>
              <c:txPr>
                <a:bodyPr rot="0" spcFirstLastPara="1" vertOverflow="clip" horzOverflow="clip" vert="horz" wrap="square" lIns="38100" tIns="19050" rIns="38100" bIns="19050" anchor="ctr" anchorCtr="0">
                  <a:noAutofit/>
                </a:bodyPr>
                <a:lstStyle/>
                <a:p>
                  <a:pPr algn="ctr" rtl="0">
                    <a:defRPr lang="en-US" sz="8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showLegendKey val="0"/>
              <c:showVal val="1"/>
              <c:showCatName val="0"/>
              <c:showSerName val="1"/>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15:layout>
                    <c:manualLayout>
                      <c:w val="0.2165138651146867"/>
                      <c:h val="0.11569952995419297"/>
                    </c:manualLayout>
                  </c15:layout>
                  <c15:dlblFieldTable/>
                  <c15:showDataLabelsRange val="0"/>
                </c:ext>
                <c:ext xmlns:c16="http://schemas.microsoft.com/office/drawing/2014/chart" uri="{C3380CC4-5D6E-409C-BE32-E72D297353CC}">
                  <c16:uniqueId val="{00000001-1EEB-4AE4-889D-0894FBF69067}"/>
                </c:ext>
              </c:extLst>
            </c:dLbl>
            <c:spPr>
              <a:solidFill>
                <a:sysClr val="window" lastClr="FFFFFF"/>
              </a:solidFill>
              <a:ln>
                <a:noFill/>
              </a:ln>
              <a:effectLst/>
            </c:spPr>
            <c:txPr>
              <a:bodyPr rot="0" spcFirstLastPara="1" vertOverflow="clip" horzOverflow="clip" vert="horz" wrap="square" lIns="38100" tIns="19050" rIns="38100" bIns="19050" anchor="ctr" anchorCtr="0">
                <a:spAutoFit/>
              </a:bodyPr>
              <a:lstStyle/>
              <a:p>
                <a:pPr algn="ctr" rtl="0">
                  <a:defRPr lang="en-US" sz="7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showLegendKey val="0"/>
            <c:showVal val="0"/>
            <c:showCatName val="0"/>
            <c:showSerName val="0"/>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numRef>
              <c:f>Estrategia!$C$20:$J$20</c:f>
              <c:numCache>
                <c:formatCode>d\-mmm\-yy</c:formatCode>
                <c:ptCount val="8"/>
                <c:pt idx="0">
                  <c:v>44501</c:v>
                </c:pt>
                <c:pt idx="1">
                  <c:v>44683</c:v>
                </c:pt>
                <c:pt idx="2">
                  <c:v>44866</c:v>
                </c:pt>
                <c:pt idx="3">
                  <c:v>45048</c:v>
                </c:pt>
                <c:pt idx="4">
                  <c:v>45231</c:v>
                </c:pt>
                <c:pt idx="5">
                  <c:v>45414</c:v>
                </c:pt>
                <c:pt idx="6">
                  <c:v>45597</c:v>
                </c:pt>
                <c:pt idx="7">
                  <c:v>45779</c:v>
                </c:pt>
              </c:numCache>
            </c:numRef>
          </c:cat>
          <c:val>
            <c:numRef>
              <c:f>Estrategia!$C$22:$J$22</c:f>
              <c:numCache>
                <c:formatCode>0.0%</c:formatCode>
                <c:ptCount val="8"/>
                <c:pt idx="0">
                  <c:v>0</c:v>
                </c:pt>
                <c:pt idx="1">
                  <c:v>1.0148338908499676E-2</c:v>
                </c:pt>
                <c:pt idx="2">
                  <c:v>-5.7201165668863303E-4</c:v>
                </c:pt>
                <c:pt idx="3">
                  <c:v>0.11545613482270309</c:v>
                </c:pt>
                <c:pt idx="4">
                  <c:v>2.0632277591742951E-2</c:v>
                </c:pt>
                <c:pt idx="5">
                  <c:v>0.17776338457729252</c:v>
                </c:pt>
                <c:pt idx="6">
                  <c:v>8.4476143122673417E-2</c:v>
                </c:pt>
                <c:pt idx="7">
                  <c:v>0.20420556221432268</c:v>
                </c:pt>
              </c:numCache>
            </c:numRef>
          </c:val>
          <c:smooth val="0"/>
          <c:extLst>
            <c:ext xmlns:c16="http://schemas.microsoft.com/office/drawing/2014/chart" uri="{C3380CC4-5D6E-409C-BE32-E72D297353CC}">
              <c16:uniqueId val="{00000000-E8C8-4B64-BBC8-32F1D3615174}"/>
            </c:ext>
          </c:extLst>
        </c:ser>
        <c:dLbls>
          <c:showLegendKey val="0"/>
          <c:showVal val="0"/>
          <c:showCatName val="0"/>
          <c:showSerName val="0"/>
          <c:showPercent val="0"/>
          <c:showBubbleSize val="0"/>
        </c:dLbls>
        <c:smooth val="0"/>
        <c:axId val="917477032"/>
        <c:axId val="917477360"/>
      </c:lineChart>
      <c:catAx>
        <c:axId val="917477032"/>
        <c:scaling>
          <c:orientation val="minMax"/>
        </c:scaling>
        <c:delete val="0"/>
        <c:axPos val="b"/>
        <c:majorGridlines>
          <c:spPr>
            <a:ln w="6350" cap="flat" cmpd="sng" algn="ctr">
              <a:solidFill>
                <a:schemeClr val="tx2">
                  <a:lumMod val="20000"/>
                  <a:lumOff val="80000"/>
                </a:schemeClr>
              </a:solidFill>
              <a:round/>
            </a:ln>
            <a:effectLst/>
          </c:spPr>
        </c:majorGridlines>
        <c:numFmt formatCode="m/d/yy;@" sourceLinked="0"/>
        <c:majorTickMark val="none"/>
        <c:minorTickMark val="none"/>
        <c:tickLblPos val="nextTo"/>
        <c:spPr>
          <a:noFill/>
          <a:ln w="9525" cap="flat" cmpd="sng" algn="ctr">
            <a:solidFill>
              <a:schemeClr val="lt1">
                <a:lumMod val="95000"/>
                <a:alpha val="10000"/>
              </a:schemeClr>
            </a:solidFill>
            <a:round/>
          </a:ln>
          <a:effectLst/>
        </c:spPr>
        <c:txPr>
          <a:bodyPr rot="-60000000" spcFirstLastPara="1" vertOverflow="ellipsis" vert="horz" wrap="square" anchor="ctr" anchorCtr="1"/>
          <a:lstStyle/>
          <a:p>
            <a:pPr>
              <a:defRPr sz="9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crossAx val="917477360"/>
        <c:crosses val="autoZero"/>
        <c:auto val="0"/>
        <c:lblAlgn val="ctr"/>
        <c:lblOffset val="200"/>
        <c:noMultiLvlLbl val="0"/>
      </c:catAx>
      <c:valAx>
        <c:axId val="917477360"/>
        <c:scaling>
          <c:orientation val="minMax"/>
          <c:min val="-5.000000000000001E-2"/>
        </c:scaling>
        <c:delete val="0"/>
        <c:axPos val="l"/>
        <c:majorGridlines>
          <c:spPr>
            <a:ln w="6350" cap="flat" cmpd="sng" algn="ctr">
              <a:solidFill>
                <a:schemeClr val="tx2">
                  <a:lumMod val="20000"/>
                  <a:lumOff val="80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crossAx val="917477032"/>
        <c:crosses val="autoZero"/>
        <c:crossBetween val="midCat"/>
        <c:majorUnit val="0.1"/>
      </c:valAx>
      <c:spPr>
        <a:noFill/>
        <a:ln>
          <a:solidFill>
            <a:schemeClr val="accent1">
              <a:lumMod val="20000"/>
              <a:lumOff val="80000"/>
            </a:schemeClr>
          </a:solid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25400">
      <a:solidFill>
        <a:srgbClr val="002060"/>
      </a:solidFill>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cap="all" spc="150" baseline="0">
                <a:solidFill>
                  <a:schemeClr val="tx2"/>
                </a:solidFill>
                <a:latin typeface="BrowalliaUPC" panose="020B0604020202020204" pitchFamily="34" charset="-34"/>
                <a:ea typeface="+mn-ea"/>
                <a:cs typeface="BrowalliaUPC" panose="020B0604020202020204" pitchFamily="34" charset="-34"/>
              </a:defRPr>
            </a:pPr>
            <a:r>
              <a:rPr lang="en-US" sz="1400" baseline="0"/>
              <a:t>% por sectores (GICS)</a:t>
            </a:r>
            <a:endParaRPr lang="en-US" sz="1400"/>
          </a:p>
        </c:rich>
      </c:tx>
      <c:overlay val="0"/>
      <c:spPr>
        <a:noFill/>
        <a:ln>
          <a:noFill/>
        </a:ln>
        <a:effectLst/>
      </c:spPr>
      <c:txPr>
        <a:bodyPr rot="0" spcFirstLastPara="1" vertOverflow="ellipsis" vert="horz" wrap="square" anchor="ctr" anchorCtr="1"/>
        <a:lstStyle/>
        <a:p>
          <a:pPr>
            <a:defRPr sz="1400" b="1" i="0" u="none" strike="noStrike" kern="1200" cap="all" spc="150" baseline="0">
              <a:solidFill>
                <a:schemeClr val="tx2"/>
              </a:solidFill>
              <a:latin typeface="BrowalliaUPC" panose="020B0604020202020204" pitchFamily="34" charset="-34"/>
              <a:ea typeface="+mn-ea"/>
              <a:cs typeface="BrowalliaUPC" panose="020B0604020202020204" pitchFamily="34" charset="-34"/>
            </a:defRPr>
          </a:pPr>
          <a:endParaRPr lang="en-US"/>
        </a:p>
      </c:txPr>
    </c:title>
    <c:autoTitleDeleted val="0"/>
    <c:plotArea>
      <c:layout/>
      <c:pieChart>
        <c:varyColors val="1"/>
        <c:ser>
          <c:idx val="0"/>
          <c:order val="0"/>
          <c:tx>
            <c:strRef>
              <c:f>'Portafolio Actual'!$B$2:$C$2</c:f>
              <c:strCache>
                <c:ptCount val="1"/>
                <c:pt idx="0">
                  <c:v>IPC Regresión a la media</c:v>
                </c:pt>
              </c:strCache>
            </c:strRef>
          </c:tx>
          <c:dPt>
            <c:idx val="0"/>
            <c:bubble3D val="0"/>
            <c:spPr>
              <a:pattFill prst="ltUpDiag">
                <a:fgClr>
                  <a:schemeClr val="accent1"/>
                </a:fgClr>
                <a:bgClr>
                  <a:schemeClr val="accent1">
                    <a:lumMod val="20000"/>
                    <a:lumOff val="80000"/>
                  </a:schemeClr>
                </a:bgClr>
              </a:pattFill>
              <a:ln w="19050">
                <a:solidFill>
                  <a:schemeClr val="lt1"/>
                </a:solidFill>
              </a:ln>
              <a:effectLst>
                <a:innerShdw blurRad="114300">
                  <a:schemeClr val="accent1"/>
                </a:innerShdw>
              </a:effectLst>
            </c:spPr>
            <c:extLst>
              <c:ext xmlns:c16="http://schemas.microsoft.com/office/drawing/2014/chart" uri="{C3380CC4-5D6E-409C-BE32-E72D297353CC}">
                <c16:uniqueId val="{00000001-770D-4853-B367-2F1192322F55}"/>
              </c:ext>
            </c:extLst>
          </c:dPt>
          <c:dPt>
            <c:idx val="1"/>
            <c:bubble3D val="0"/>
            <c:spPr>
              <a:pattFill prst="ltUpDiag">
                <a:fgClr>
                  <a:schemeClr val="accent2"/>
                </a:fgClr>
                <a:bgClr>
                  <a:schemeClr val="accent2">
                    <a:lumMod val="20000"/>
                    <a:lumOff val="80000"/>
                  </a:schemeClr>
                </a:bgClr>
              </a:pattFill>
              <a:ln w="19050">
                <a:solidFill>
                  <a:schemeClr val="lt1"/>
                </a:solidFill>
              </a:ln>
              <a:effectLst>
                <a:innerShdw blurRad="114300">
                  <a:schemeClr val="accent2"/>
                </a:innerShdw>
              </a:effectLst>
            </c:spPr>
            <c:extLst>
              <c:ext xmlns:c16="http://schemas.microsoft.com/office/drawing/2014/chart" uri="{C3380CC4-5D6E-409C-BE32-E72D297353CC}">
                <c16:uniqueId val="{00000003-770D-4853-B367-2F1192322F55}"/>
              </c:ext>
            </c:extLst>
          </c:dPt>
          <c:dPt>
            <c:idx val="2"/>
            <c:bubble3D val="0"/>
            <c:spPr>
              <a:pattFill prst="ltUpDiag">
                <a:fgClr>
                  <a:schemeClr val="accent3"/>
                </a:fgClr>
                <a:bgClr>
                  <a:schemeClr val="accent3">
                    <a:lumMod val="20000"/>
                    <a:lumOff val="80000"/>
                  </a:schemeClr>
                </a:bgClr>
              </a:pattFill>
              <a:ln w="19050">
                <a:solidFill>
                  <a:schemeClr val="lt1"/>
                </a:solidFill>
              </a:ln>
              <a:effectLst>
                <a:innerShdw blurRad="114300">
                  <a:schemeClr val="accent3"/>
                </a:innerShdw>
              </a:effectLst>
            </c:spPr>
            <c:extLst>
              <c:ext xmlns:c16="http://schemas.microsoft.com/office/drawing/2014/chart" uri="{C3380CC4-5D6E-409C-BE32-E72D297353CC}">
                <c16:uniqueId val="{00000005-770D-4853-B367-2F1192322F55}"/>
              </c:ext>
            </c:extLst>
          </c:dPt>
          <c:dPt>
            <c:idx val="3"/>
            <c:bubble3D val="0"/>
            <c:spPr>
              <a:pattFill prst="ltUpDiag">
                <a:fgClr>
                  <a:schemeClr val="accent4"/>
                </a:fgClr>
                <a:bgClr>
                  <a:schemeClr val="accent4">
                    <a:lumMod val="20000"/>
                    <a:lumOff val="80000"/>
                  </a:schemeClr>
                </a:bgClr>
              </a:pattFill>
              <a:ln w="19050">
                <a:solidFill>
                  <a:schemeClr val="lt1"/>
                </a:solidFill>
              </a:ln>
              <a:effectLst>
                <a:innerShdw blurRad="114300">
                  <a:schemeClr val="accent4"/>
                </a:innerShdw>
              </a:effectLst>
            </c:spPr>
            <c:extLst>
              <c:ext xmlns:c16="http://schemas.microsoft.com/office/drawing/2014/chart" uri="{C3380CC4-5D6E-409C-BE32-E72D297353CC}">
                <c16:uniqueId val="{00000007-770D-4853-B367-2F1192322F55}"/>
              </c:ext>
            </c:extLst>
          </c:dPt>
          <c:dPt>
            <c:idx val="4"/>
            <c:bubble3D val="0"/>
            <c:spPr>
              <a:pattFill prst="ltUpDiag">
                <a:fgClr>
                  <a:schemeClr val="accent5"/>
                </a:fgClr>
                <a:bgClr>
                  <a:schemeClr val="accent5">
                    <a:lumMod val="20000"/>
                    <a:lumOff val="80000"/>
                  </a:schemeClr>
                </a:bgClr>
              </a:pattFill>
              <a:ln w="19050">
                <a:solidFill>
                  <a:schemeClr val="lt1"/>
                </a:solidFill>
              </a:ln>
              <a:effectLst>
                <a:innerShdw blurRad="114300">
                  <a:schemeClr val="accent5"/>
                </a:innerShdw>
              </a:effectLst>
            </c:spPr>
            <c:extLst>
              <c:ext xmlns:c16="http://schemas.microsoft.com/office/drawing/2014/chart" uri="{C3380CC4-5D6E-409C-BE32-E72D297353CC}">
                <c16:uniqueId val="{00000009-770D-4853-B367-2F1192322F55}"/>
              </c:ext>
            </c:extLst>
          </c:dPt>
          <c:dPt>
            <c:idx val="5"/>
            <c:bubble3D val="0"/>
            <c:spPr>
              <a:pattFill prst="ltUpDiag">
                <a:fgClr>
                  <a:schemeClr val="accent6"/>
                </a:fgClr>
                <a:bgClr>
                  <a:schemeClr val="accent6">
                    <a:lumMod val="20000"/>
                    <a:lumOff val="80000"/>
                  </a:schemeClr>
                </a:bgClr>
              </a:pattFill>
              <a:ln w="19050">
                <a:solidFill>
                  <a:schemeClr val="lt1"/>
                </a:solidFill>
              </a:ln>
              <a:effectLst>
                <a:innerShdw blurRad="114300">
                  <a:schemeClr val="accent6"/>
                </a:innerShdw>
              </a:effectLst>
            </c:spPr>
            <c:extLst>
              <c:ext xmlns:c16="http://schemas.microsoft.com/office/drawing/2014/chart" uri="{C3380CC4-5D6E-409C-BE32-E72D297353CC}">
                <c16:uniqueId val="{0000000B-E75B-4837-AAD9-3C6A82A2DC99}"/>
              </c:ext>
            </c:extLst>
          </c:dPt>
          <c:dPt>
            <c:idx val="6"/>
            <c:bubble3D val="0"/>
            <c:spPr>
              <a:pattFill prst="ltUpDiag">
                <a:fgClr>
                  <a:schemeClr val="accent1">
                    <a:lumMod val="60000"/>
                  </a:schemeClr>
                </a:fgClr>
                <a:bgClr>
                  <a:schemeClr val="accent1">
                    <a:lumMod val="60000"/>
                    <a:lumMod val="20000"/>
                    <a:lumOff val="80000"/>
                  </a:schemeClr>
                </a:bgClr>
              </a:pattFill>
              <a:ln w="19050">
                <a:solidFill>
                  <a:schemeClr val="lt1"/>
                </a:solidFill>
              </a:ln>
              <a:effectLst>
                <a:innerShdw blurRad="114300">
                  <a:schemeClr val="accent1">
                    <a:lumMod val="60000"/>
                  </a:schemeClr>
                </a:innerShdw>
              </a:effectLst>
            </c:spPr>
            <c:extLst>
              <c:ext xmlns:c16="http://schemas.microsoft.com/office/drawing/2014/chart" uri="{C3380CC4-5D6E-409C-BE32-E72D297353CC}">
                <c16:uniqueId val="{0000000D-E75B-4837-AAD9-3C6A82A2DC99}"/>
              </c:ext>
            </c:extLst>
          </c:dPt>
          <c:dPt>
            <c:idx val="7"/>
            <c:bubble3D val="0"/>
            <c:spPr>
              <a:pattFill prst="ltUpDiag">
                <a:fgClr>
                  <a:schemeClr val="accent2">
                    <a:lumMod val="60000"/>
                  </a:schemeClr>
                </a:fgClr>
                <a:bgClr>
                  <a:schemeClr val="accent2">
                    <a:lumMod val="60000"/>
                    <a:lumMod val="20000"/>
                    <a:lumOff val="80000"/>
                  </a:schemeClr>
                </a:bgClr>
              </a:pattFill>
              <a:ln w="19050">
                <a:solidFill>
                  <a:schemeClr val="lt1"/>
                </a:solidFill>
              </a:ln>
              <a:effectLst>
                <a:innerShdw blurRad="114300">
                  <a:schemeClr val="accent2">
                    <a:lumMod val="60000"/>
                  </a:schemeClr>
                </a:innerShdw>
              </a:effectLst>
            </c:spPr>
            <c:extLst>
              <c:ext xmlns:c16="http://schemas.microsoft.com/office/drawing/2014/chart" uri="{C3380CC4-5D6E-409C-BE32-E72D297353CC}">
                <c16:uniqueId val="{0000000F-E75B-4837-AAD9-3C6A82A2DC99}"/>
              </c:ext>
            </c:extLst>
          </c:dPt>
          <c:dPt>
            <c:idx val="8"/>
            <c:bubble3D val="0"/>
            <c:spPr>
              <a:pattFill prst="ltUpDiag">
                <a:fgClr>
                  <a:schemeClr val="accent3">
                    <a:lumMod val="60000"/>
                  </a:schemeClr>
                </a:fgClr>
                <a:bgClr>
                  <a:schemeClr val="accent3">
                    <a:lumMod val="60000"/>
                    <a:lumMod val="20000"/>
                    <a:lumOff val="80000"/>
                  </a:schemeClr>
                </a:bgClr>
              </a:pattFill>
              <a:ln w="19050">
                <a:solidFill>
                  <a:schemeClr val="lt1"/>
                </a:solidFill>
              </a:ln>
              <a:effectLst>
                <a:innerShdw blurRad="114300">
                  <a:schemeClr val="accent3">
                    <a:lumMod val="60000"/>
                  </a:schemeClr>
                </a:innerShdw>
              </a:effectLst>
            </c:spPr>
            <c:extLst>
              <c:ext xmlns:c16="http://schemas.microsoft.com/office/drawing/2014/chart" uri="{C3380CC4-5D6E-409C-BE32-E72D297353CC}">
                <c16:uniqueId val="{00000011-E75B-4837-AAD9-3C6A82A2DC99}"/>
              </c:ext>
            </c:extLst>
          </c:dPt>
          <c:dPt>
            <c:idx val="9"/>
            <c:bubble3D val="0"/>
            <c:spPr>
              <a:pattFill prst="ltUpDiag">
                <a:fgClr>
                  <a:schemeClr val="accent4">
                    <a:lumMod val="60000"/>
                  </a:schemeClr>
                </a:fgClr>
                <a:bgClr>
                  <a:schemeClr val="accent4">
                    <a:lumMod val="60000"/>
                    <a:lumMod val="20000"/>
                    <a:lumOff val="80000"/>
                  </a:schemeClr>
                </a:bgClr>
              </a:pattFill>
              <a:ln w="19050">
                <a:solidFill>
                  <a:schemeClr val="lt1"/>
                </a:solidFill>
              </a:ln>
              <a:effectLst>
                <a:innerShdw blurRad="114300">
                  <a:schemeClr val="accent4">
                    <a:lumMod val="60000"/>
                  </a:schemeClr>
                </a:innerShdw>
              </a:effectLst>
            </c:spPr>
            <c:extLst>
              <c:ext xmlns:c16="http://schemas.microsoft.com/office/drawing/2014/chart" uri="{C3380CC4-5D6E-409C-BE32-E72D297353CC}">
                <c16:uniqueId val="{00000013-C23B-4135-8430-6AC3CBD37079}"/>
              </c:ext>
            </c:extLst>
          </c:dPt>
          <c:dPt>
            <c:idx val="10"/>
            <c:bubble3D val="0"/>
            <c:spPr>
              <a:pattFill prst="ltUpDiag">
                <a:fgClr>
                  <a:schemeClr val="accent5">
                    <a:lumMod val="60000"/>
                  </a:schemeClr>
                </a:fgClr>
                <a:bgClr>
                  <a:schemeClr val="accent5">
                    <a:lumMod val="60000"/>
                    <a:lumMod val="20000"/>
                    <a:lumOff val="80000"/>
                  </a:schemeClr>
                </a:bgClr>
              </a:pattFill>
              <a:ln w="19050">
                <a:solidFill>
                  <a:schemeClr val="lt1"/>
                </a:solidFill>
              </a:ln>
              <a:effectLst>
                <a:innerShdw blurRad="114300">
                  <a:schemeClr val="accent5">
                    <a:lumMod val="60000"/>
                  </a:schemeClr>
                </a:innerShdw>
              </a:effectLst>
            </c:spPr>
            <c:extLst>
              <c:ext xmlns:c16="http://schemas.microsoft.com/office/drawing/2014/chart" uri="{C3380CC4-5D6E-409C-BE32-E72D297353CC}">
                <c16:uniqueId val="{00000015-C23B-4135-8430-6AC3CBD37079}"/>
              </c:ext>
            </c:extLst>
          </c:dPt>
          <c:dPt>
            <c:idx val="11"/>
            <c:bubble3D val="0"/>
            <c:spPr>
              <a:pattFill prst="ltUpDiag">
                <a:fgClr>
                  <a:schemeClr val="accent6">
                    <a:lumMod val="60000"/>
                  </a:schemeClr>
                </a:fgClr>
                <a:bgClr>
                  <a:schemeClr val="accent6">
                    <a:lumMod val="60000"/>
                    <a:lumMod val="20000"/>
                    <a:lumOff val="80000"/>
                  </a:schemeClr>
                </a:bgClr>
              </a:pattFill>
              <a:ln w="19050">
                <a:solidFill>
                  <a:schemeClr val="lt1"/>
                </a:solidFill>
              </a:ln>
              <a:effectLst>
                <a:innerShdw blurRad="114300">
                  <a:schemeClr val="accent6">
                    <a:lumMod val="60000"/>
                  </a:schemeClr>
                </a:innerShdw>
              </a:effectLst>
            </c:spPr>
            <c:extLst>
              <c:ext xmlns:c16="http://schemas.microsoft.com/office/drawing/2014/chart" uri="{C3380CC4-5D6E-409C-BE32-E72D297353CC}">
                <c16:uniqueId val="{00000017-C23B-4135-8430-6AC3CBD37079}"/>
              </c:ext>
            </c:extLst>
          </c:dPt>
          <c:dLbls>
            <c:dLbl>
              <c:idx val="2"/>
              <c:layout>
                <c:manualLayout>
                  <c:x val="6.0599140142409885E-2"/>
                  <c:y val="-3.2900035968503306E-2"/>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5-770D-4853-B367-2F1192322F55}"/>
                </c:ext>
              </c:extLst>
            </c:dLbl>
            <c:dLbl>
              <c:idx val="3"/>
              <c:layout>
                <c:manualLayout>
                  <c:x val="-4.4083045193895207E-2"/>
                  <c:y val="4.4840005716500889E-2"/>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7-770D-4853-B367-2F1192322F55}"/>
                </c:ext>
              </c:extLst>
            </c:dLbl>
            <c:dLbl>
              <c:idx val="4"/>
              <c:layout>
                <c:manualLayout>
                  <c:x val="-0.20482839978257722"/>
                  <c:y val="9.9474982223342986E-2"/>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9-770D-4853-B367-2F1192322F55}"/>
                </c:ext>
              </c:extLst>
            </c:dLbl>
            <c:dLbl>
              <c:idx val="5"/>
              <c:layout>
                <c:manualLayout>
                  <c:x val="-3.6719255716927204E-2"/>
                  <c:y val="6.4048410196524382E-3"/>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B-E75B-4837-AAD9-3C6A82A2DC99}"/>
                </c:ext>
              </c:extLst>
            </c:dLbl>
            <c:spPr>
              <a:solidFill>
                <a:sysClr val="window" lastClr="FFFFFF">
                  <a:lumMod val="95000"/>
                </a:sysClr>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BrowalliaUPC" panose="020B0604020202020204" pitchFamily="34" charset="-34"/>
                    <a:ea typeface="+mn-ea"/>
                    <a:cs typeface="BrowalliaUPC" panose="020B0604020202020204" pitchFamily="34" charset="-34"/>
                  </a:defRPr>
                </a:pPr>
                <a:endParaRPr lang="en-US"/>
              </a:p>
            </c:txPr>
            <c:showLegendKey val="0"/>
            <c:showVal val="0"/>
            <c:showCatName val="1"/>
            <c:showSerName val="0"/>
            <c:showPercent val="1"/>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ext>
            </c:extLst>
          </c:dLbls>
          <c:cat>
            <c:strRef>
              <c:f>'Portafolio Actual'!$W$6:$W$17</c:f>
              <c:strCache>
                <c:ptCount val="12"/>
                <c:pt idx="0">
                  <c:v> Industrial </c:v>
                </c:pt>
                <c:pt idx="1">
                  <c:v> Consumo discrecional </c:v>
                </c:pt>
                <c:pt idx="2">
                  <c:v> Materiales </c:v>
                </c:pt>
                <c:pt idx="3">
                  <c:v> Financiero </c:v>
                </c:pt>
                <c:pt idx="4">
                  <c:v> Servicios de comunicación </c:v>
                </c:pt>
                <c:pt idx="5">
                  <c:v> Efectivo </c:v>
                </c:pt>
                <c:pt idx="6">
                  <c:v> #NA </c:v>
                </c:pt>
                <c:pt idx="7">
                  <c:v> #NA </c:v>
                </c:pt>
                <c:pt idx="8">
                  <c:v> #NA </c:v>
                </c:pt>
                <c:pt idx="9">
                  <c:v> #NA </c:v>
                </c:pt>
                <c:pt idx="10">
                  <c:v> #NA </c:v>
                </c:pt>
                <c:pt idx="11">
                  <c:v> #NA </c:v>
                </c:pt>
              </c:strCache>
            </c:strRef>
          </c:cat>
          <c:val>
            <c:numRef>
              <c:f>'Portafolio Actual'!$X$6:$X$17</c:f>
              <c:numCache>
                <c:formatCode>0.00%</c:formatCode>
                <c:ptCount val="12"/>
                <c:pt idx="0">
                  <c:v>0.1301726537514655</c:v>
                </c:pt>
                <c:pt idx="1">
                  <c:v>0.20001944869804306</c:v>
                </c:pt>
                <c:pt idx="2">
                  <c:v>0.2342105131158988</c:v>
                </c:pt>
                <c:pt idx="3">
                  <c:v>0.36400883673787265</c:v>
                </c:pt>
                <c:pt idx="4">
                  <c:v>6.6944637883555577E-2</c:v>
                </c:pt>
                <c:pt idx="5">
                  <c:v>4.6439098131642797E-3</c:v>
                </c:pt>
                <c:pt idx="6">
                  <c:v>#N/A</c:v>
                </c:pt>
                <c:pt idx="7">
                  <c:v>#N/A</c:v>
                </c:pt>
                <c:pt idx="8">
                  <c:v>#N/A</c:v>
                </c:pt>
                <c:pt idx="9">
                  <c:v>#N/A</c:v>
                </c:pt>
                <c:pt idx="10">
                  <c:v>#N/A</c:v>
                </c:pt>
                <c:pt idx="11">
                  <c:v>#N/A</c:v>
                </c:pt>
              </c:numCache>
            </c:numRef>
          </c:val>
          <c:extLst>
            <c:ext xmlns:c16="http://schemas.microsoft.com/office/drawing/2014/chart" uri="{C3380CC4-5D6E-409C-BE32-E72D297353CC}">
              <c16:uniqueId val="{0000000A-770D-4853-B367-2F1192322F55}"/>
            </c:ext>
          </c:extLst>
        </c:ser>
        <c:dLbls>
          <c:showLegendKey val="0"/>
          <c:showVal val="0"/>
          <c:showCatName val="1"/>
          <c:showSerName val="0"/>
          <c:showPercent val="1"/>
          <c:showBubbleSize val="0"/>
          <c:showLeaderLines val="0"/>
        </c:dLbls>
        <c:firstSliceAng val="0"/>
      </c:pieChart>
      <c:spPr>
        <a:noFill/>
        <a:ln>
          <a:noFill/>
        </a:ln>
        <a:effectLst/>
      </c:spPr>
    </c:plotArea>
    <c:plotVisOnly val="0"/>
    <c:dispBlanksAs val="gap"/>
    <c:extLst>
      <c:ext xmlns:c16r3="http://schemas.microsoft.com/office/drawing/2017/03/chart" uri="{56B9EC1D-385E-4148-901F-78D8002777C0}">
        <c16r3:dataDisplayOptions16>
          <c16r3:dispNaAsBlank val="1"/>
        </c16r3:dataDisplayOptions16>
      </c:ext>
    </c:extLst>
    <c:showDLblsOverMax val="0"/>
  </c:chart>
  <c:spPr>
    <a:gradFill flip="none" rotWithShape="1">
      <a:gsLst>
        <a:gs pos="13000">
          <a:schemeClr val="accent1">
            <a:lumMod val="5000"/>
            <a:lumOff val="95000"/>
          </a:schemeClr>
        </a:gs>
        <a:gs pos="85000">
          <a:schemeClr val="bg2"/>
        </a:gs>
        <a:gs pos="100000">
          <a:schemeClr val="bg2">
            <a:lumMod val="90000"/>
          </a:schemeClr>
        </a:gs>
      </a:gsLst>
      <a:lin ang="2700000" scaled="1"/>
      <a:tileRect/>
    </a:gradFill>
    <a:ln w="9525" cap="flat" cmpd="sng" algn="ctr">
      <a:solidFill>
        <a:schemeClr val="tx1">
          <a:lumMod val="15000"/>
          <a:lumOff val="85000"/>
        </a:schemeClr>
      </a:solidFill>
      <a:round/>
    </a:ln>
    <a:effectLst/>
  </c:spPr>
  <c:txPr>
    <a:bodyPr/>
    <a:lstStyle/>
    <a:p>
      <a:pPr>
        <a:defRPr>
          <a:latin typeface="BrowalliaUPC" panose="020B0604020202020204" pitchFamily="34" charset="-34"/>
          <a:cs typeface="BrowalliaUPC" panose="020B0604020202020204" pitchFamily="34" charset="-34"/>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cap="all" spc="150" baseline="0">
                <a:solidFill>
                  <a:schemeClr val="bg1"/>
                </a:solidFill>
                <a:latin typeface="BrowalliaUPC" panose="020B0604020202020204" pitchFamily="34" charset="-34"/>
                <a:ea typeface="+mn-ea"/>
                <a:cs typeface="BrowalliaUPC" panose="020B0604020202020204" pitchFamily="34" charset="-34"/>
              </a:defRPr>
            </a:pPr>
            <a:r>
              <a:rPr lang="en-US" sz="1400" baseline="0">
                <a:solidFill>
                  <a:schemeClr val="bg1"/>
                </a:solidFill>
              </a:rPr>
              <a:t>% por sectores (GICS)</a:t>
            </a:r>
            <a:endParaRPr lang="en-US" sz="1400">
              <a:solidFill>
                <a:schemeClr val="bg1"/>
              </a:solidFill>
            </a:endParaRPr>
          </a:p>
        </c:rich>
      </c:tx>
      <c:layout>
        <c:manualLayout>
          <c:xMode val="edge"/>
          <c:yMode val="edge"/>
          <c:x val="0.17326174522132737"/>
          <c:y val="5.5504251756796977E-3"/>
        </c:manualLayout>
      </c:layout>
      <c:overlay val="0"/>
      <c:spPr>
        <a:noFill/>
        <a:ln>
          <a:noFill/>
        </a:ln>
        <a:effectLst/>
      </c:spPr>
      <c:txPr>
        <a:bodyPr rot="0" spcFirstLastPara="1" vertOverflow="ellipsis" vert="horz" wrap="square" anchor="ctr" anchorCtr="1"/>
        <a:lstStyle/>
        <a:p>
          <a:pPr>
            <a:defRPr sz="1400" b="1" i="0" u="none" strike="noStrike" kern="1200" cap="all" spc="150" baseline="0">
              <a:solidFill>
                <a:schemeClr val="bg1"/>
              </a:solidFill>
              <a:latin typeface="BrowalliaUPC" panose="020B0604020202020204" pitchFamily="34" charset="-34"/>
              <a:ea typeface="+mn-ea"/>
              <a:cs typeface="BrowalliaUPC" panose="020B0604020202020204" pitchFamily="34" charset="-34"/>
            </a:defRPr>
          </a:pPr>
          <a:endParaRPr lang="en-US"/>
        </a:p>
      </c:txPr>
    </c:title>
    <c:autoTitleDeleted val="0"/>
    <c:plotArea>
      <c:layout/>
      <c:pieChart>
        <c:varyColors val="1"/>
        <c:ser>
          <c:idx val="0"/>
          <c:order val="0"/>
          <c:tx>
            <c:strRef>
              <c:f>'Portafolio Actual'!$B$2:$C$2</c:f>
              <c:strCache>
                <c:ptCount val="1"/>
                <c:pt idx="0">
                  <c:v>IPC Regresión a la media</c:v>
                </c:pt>
              </c:strCache>
            </c:strRef>
          </c:tx>
          <c:dPt>
            <c:idx val="0"/>
            <c:bubble3D val="0"/>
            <c:spPr>
              <a:pattFill prst="ltUpDiag">
                <a:fgClr>
                  <a:schemeClr val="accent1"/>
                </a:fgClr>
                <a:bgClr>
                  <a:schemeClr val="accent1">
                    <a:lumMod val="20000"/>
                    <a:lumOff val="80000"/>
                  </a:schemeClr>
                </a:bgClr>
              </a:pattFill>
              <a:ln w="19050">
                <a:solidFill>
                  <a:schemeClr val="lt1"/>
                </a:solidFill>
              </a:ln>
              <a:effectLst>
                <a:innerShdw blurRad="114300">
                  <a:schemeClr val="accent1"/>
                </a:innerShdw>
              </a:effectLst>
            </c:spPr>
            <c:extLst>
              <c:ext xmlns:c16="http://schemas.microsoft.com/office/drawing/2014/chart" uri="{C3380CC4-5D6E-409C-BE32-E72D297353CC}">
                <c16:uniqueId val="{00000001-E39F-45E3-8896-6A410148F6CF}"/>
              </c:ext>
            </c:extLst>
          </c:dPt>
          <c:dPt>
            <c:idx val="1"/>
            <c:bubble3D val="0"/>
            <c:spPr>
              <a:pattFill prst="ltUpDiag">
                <a:fgClr>
                  <a:schemeClr val="accent2"/>
                </a:fgClr>
                <a:bgClr>
                  <a:schemeClr val="accent2">
                    <a:lumMod val="20000"/>
                    <a:lumOff val="80000"/>
                  </a:schemeClr>
                </a:bgClr>
              </a:pattFill>
              <a:ln w="19050">
                <a:solidFill>
                  <a:schemeClr val="lt1"/>
                </a:solidFill>
              </a:ln>
              <a:effectLst>
                <a:innerShdw blurRad="114300">
                  <a:schemeClr val="accent2"/>
                </a:innerShdw>
              </a:effectLst>
            </c:spPr>
            <c:extLst>
              <c:ext xmlns:c16="http://schemas.microsoft.com/office/drawing/2014/chart" uri="{C3380CC4-5D6E-409C-BE32-E72D297353CC}">
                <c16:uniqueId val="{00000003-E39F-45E3-8896-6A410148F6CF}"/>
              </c:ext>
            </c:extLst>
          </c:dPt>
          <c:dPt>
            <c:idx val="2"/>
            <c:bubble3D val="0"/>
            <c:spPr>
              <a:pattFill prst="ltUpDiag">
                <a:fgClr>
                  <a:schemeClr val="accent3"/>
                </a:fgClr>
                <a:bgClr>
                  <a:schemeClr val="accent3">
                    <a:lumMod val="20000"/>
                    <a:lumOff val="80000"/>
                  </a:schemeClr>
                </a:bgClr>
              </a:pattFill>
              <a:ln w="19050">
                <a:solidFill>
                  <a:schemeClr val="lt1"/>
                </a:solidFill>
              </a:ln>
              <a:effectLst>
                <a:innerShdw blurRad="114300">
                  <a:schemeClr val="accent3"/>
                </a:innerShdw>
              </a:effectLst>
            </c:spPr>
            <c:extLst>
              <c:ext xmlns:c16="http://schemas.microsoft.com/office/drawing/2014/chart" uri="{C3380CC4-5D6E-409C-BE32-E72D297353CC}">
                <c16:uniqueId val="{00000005-E39F-45E3-8896-6A410148F6CF}"/>
              </c:ext>
            </c:extLst>
          </c:dPt>
          <c:dPt>
            <c:idx val="3"/>
            <c:bubble3D val="0"/>
            <c:spPr>
              <a:pattFill prst="ltUpDiag">
                <a:fgClr>
                  <a:schemeClr val="accent4"/>
                </a:fgClr>
                <a:bgClr>
                  <a:schemeClr val="accent4">
                    <a:lumMod val="20000"/>
                    <a:lumOff val="80000"/>
                  </a:schemeClr>
                </a:bgClr>
              </a:pattFill>
              <a:ln w="19050">
                <a:solidFill>
                  <a:schemeClr val="lt1"/>
                </a:solidFill>
              </a:ln>
              <a:effectLst>
                <a:innerShdw blurRad="114300">
                  <a:schemeClr val="accent4"/>
                </a:innerShdw>
              </a:effectLst>
            </c:spPr>
            <c:extLst>
              <c:ext xmlns:c16="http://schemas.microsoft.com/office/drawing/2014/chart" uri="{C3380CC4-5D6E-409C-BE32-E72D297353CC}">
                <c16:uniqueId val="{00000007-E39F-45E3-8896-6A410148F6CF}"/>
              </c:ext>
            </c:extLst>
          </c:dPt>
          <c:dPt>
            <c:idx val="4"/>
            <c:bubble3D val="0"/>
            <c:spPr>
              <a:pattFill prst="ltUpDiag">
                <a:fgClr>
                  <a:schemeClr val="accent5"/>
                </a:fgClr>
                <a:bgClr>
                  <a:schemeClr val="accent5">
                    <a:lumMod val="20000"/>
                    <a:lumOff val="80000"/>
                  </a:schemeClr>
                </a:bgClr>
              </a:pattFill>
              <a:ln w="19050">
                <a:solidFill>
                  <a:schemeClr val="lt1"/>
                </a:solidFill>
              </a:ln>
              <a:effectLst>
                <a:innerShdw blurRad="114300">
                  <a:schemeClr val="accent5"/>
                </a:innerShdw>
              </a:effectLst>
            </c:spPr>
            <c:extLst>
              <c:ext xmlns:c16="http://schemas.microsoft.com/office/drawing/2014/chart" uri="{C3380CC4-5D6E-409C-BE32-E72D297353CC}">
                <c16:uniqueId val="{00000009-E39F-45E3-8896-6A410148F6CF}"/>
              </c:ext>
            </c:extLst>
          </c:dPt>
          <c:dPt>
            <c:idx val="5"/>
            <c:bubble3D val="0"/>
            <c:spPr>
              <a:pattFill prst="ltUpDiag">
                <a:fgClr>
                  <a:schemeClr val="accent6"/>
                </a:fgClr>
                <a:bgClr>
                  <a:schemeClr val="accent6">
                    <a:lumMod val="20000"/>
                    <a:lumOff val="80000"/>
                  </a:schemeClr>
                </a:bgClr>
              </a:pattFill>
              <a:ln w="19050">
                <a:solidFill>
                  <a:schemeClr val="lt1"/>
                </a:solidFill>
              </a:ln>
              <a:effectLst>
                <a:innerShdw blurRad="114300">
                  <a:schemeClr val="accent6"/>
                </a:innerShdw>
              </a:effectLst>
            </c:spPr>
            <c:extLst>
              <c:ext xmlns:c16="http://schemas.microsoft.com/office/drawing/2014/chart" uri="{C3380CC4-5D6E-409C-BE32-E72D297353CC}">
                <c16:uniqueId val="{0000000B-0C67-497F-B27E-A39059413FF5}"/>
              </c:ext>
            </c:extLst>
          </c:dPt>
          <c:dPt>
            <c:idx val="6"/>
            <c:bubble3D val="0"/>
            <c:spPr>
              <a:pattFill prst="ltUpDiag">
                <a:fgClr>
                  <a:schemeClr val="accent1">
                    <a:lumMod val="60000"/>
                  </a:schemeClr>
                </a:fgClr>
                <a:bgClr>
                  <a:schemeClr val="accent1">
                    <a:lumMod val="60000"/>
                    <a:lumMod val="20000"/>
                    <a:lumOff val="80000"/>
                  </a:schemeClr>
                </a:bgClr>
              </a:pattFill>
              <a:ln w="19050">
                <a:solidFill>
                  <a:schemeClr val="lt1"/>
                </a:solidFill>
              </a:ln>
              <a:effectLst>
                <a:innerShdw blurRad="114300">
                  <a:schemeClr val="accent1">
                    <a:lumMod val="60000"/>
                  </a:schemeClr>
                </a:innerShdw>
              </a:effectLst>
            </c:spPr>
            <c:extLst>
              <c:ext xmlns:c16="http://schemas.microsoft.com/office/drawing/2014/chart" uri="{C3380CC4-5D6E-409C-BE32-E72D297353CC}">
                <c16:uniqueId val="{0000000D-0C67-497F-B27E-A39059413FF5}"/>
              </c:ext>
            </c:extLst>
          </c:dPt>
          <c:dPt>
            <c:idx val="7"/>
            <c:bubble3D val="0"/>
            <c:spPr>
              <a:pattFill prst="ltUpDiag">
                <a:fgClr>
                  <a:schemeClr val="accent2">
                    <a:lumMod val="60000"/>
                  </a:schemeClr>
                </a:fgClr>
                <a:bgClr>
                  <a:schemeClr val="accent2">
                    <a:lumMod val="60000"/>
                    <a:lumMod val="20000"/>
                    <a:lumOff val="80000"/>
                  </a:schemeClr>
                </a:bgClr>
              </a:pattFill>
              <a:ln w="19050">
                <a:solidFill>
                  <a:schemeClr val="lt1"/>
                </a:solidFill>
              </a:ln>
              <a:effectLst>
                <a:innerShdw blurRad="114300">
                  <a:schemeClr val="accent2">
                    <a:lumMod val="60000"/>
                  </a:schemeClr>
                </a:innerShdw>
              </a:effectLst>
            </c:spPr>
            <c:extLst>
              <c:ext xmlns:c16="http://schemas.microsoft.com/office/drawing/2014/chart" uri="{C3380CC4-5D6E-409C-BE32-E72D297353CC}">
                <c16:uniqueId val="{0000000F-0C67-497F-B27E-A39059413FF5}"/>
              </c:ext>
            </c:extLst>
          </c:dPt>
          <c:dPt>
            <c:idx val="8"/>
            <c:bubble3D val="0"/>
            <c:spPr>
              <a:pattFill prst="ltUpDiag">
                <a:fgClr>
                  <a:schemeClr val="accent3">
                    <a:lumMod val="60000"/>
                  </a:schemeClr>
                </a:fgClr>
                <a:bgClr>
                  <a:schemeClr val="accent3">
                    <a:lumMod val="60000"/>
                    <a:lumMod val="20000"/>
                    <a:lumOff val="80000"/>
                  </a:schemeClr>
                </a:bgClr>
              </a:pattFill>
              <a:ln w="19050">
                <a:solidFill>
                  <a:schemeClr val="lt1"/>
                </a:solidFill>
              </a:ln>
              <a:effectLst>
                <a:innerShdw blurRad="114300">
                  <a:schemeClr val="accent3">
                    <a:lumMod val="60000"/>
                  </a:schemeClr>
                </a:innerShdw>
              </a:effectLst>
            </c:spPr>
            <c:extLst>
              <c:ext xmlns:c16="http://schemas.microsoft.com/office/drawing/2014/chart" uri="{C3380CC4-5D6E-409C-BE32-E72D297353CC}">
                <c16:uniqueId val="{00000011-0C67-497F-B27E-A39059413FF5}"/>
              </c:ext>
            </c:extLst>
          </c:dPt>
          <c:dPt>
            <c:idx val="9"/>
            <c:bubble3D val="0"/>
            <c:spPr>
              <a:pattFill prst="ltUpDiag">
                <a:fgClr>
                  <a:schemeClr val="accent4">
                    <a:lumMod val="60000"/>
                  </a:schemeClr>
                </a:fgClr>
                <a:bgClr>
                  <a:schemeClr val="accent4">
                    <a:lumMod val="60000"/>
                    <a:lumMod val="20000"/>
                    <a:lumOff val="80000"/>
                  </a:schemeClr>
                </a:bgClr>
              </a:pattFill>
              <a:ln w="19050">
                <a:solidFill>
                  <a:schemeClr val="lt1"/>
                </a:solidFill>
              </a:ln>
              <a:effectLst>
                <a:innerShdw blurRad="114300">
                  <a:schemeClr val="accent4">
                    <a:lumMod val="60000"/>
                  </a:schemeClr>
                </a:innerShdw>
              </a:effectLst>
            </c:spPr>
            <c:extLst>
              <c:ext xmlns:c16="http://schemas.microsoft.com/office/drawing/2014/chart" uri="{C3380CC4-5D6E-409C-BE32-E72D297353CC}">
                <c16:uniqueId val="{00000013-9138-4899-8B42-0A106FEB6443}"/>
              </c:ext>
            </c:extLst>
          </c:dPt>
          <c:dPt>
            <c:idx val="10"/>
            <c:bubble3D val="0"/>
            <c:spPr>
              <a:pattFill prst="ltUpDiag">
                <a:fgClr>
                  <a:schemeClr val="accent5">
                    <a:lumMod val="60000"/>
                  </a:schemeClr>
                </a:fgClr>
                <a:bgClr>
                  <a:schemeClr val="accent5">
                    <a:lumMod val="60000"/>
                    <a:lumMod val="20000"/>
                    <a:lumOff val="80000"/>
                  </a:schemeClr>
                </a:bgClr>
              </a:pattFill>
              <a:ln w="19050">
                <a:solidFill>
                  <a:schemeClr val="lt1"/>
                </a:solidFill>
              </a:ln>
              <a:effectLst>
                <a:innerShdw blurRad="114300">
                  <a:schemeClr val="accent5">
                    <a:lumMod val="60000"/>
                  </a:schemeClr>
                </a:innerShdw>
              </a:effectLst>
            </c:spPr>
            <c:extLst>
              <c:ext xmlns:c16="http://schemas.microsoft.com/office/drawing/2014/chart" uri="{C3380CC4-5D6E-409C-BE32-E72D297353CC}">
                <c16:uniqueId val="{00000015-9138-4899-8B42-0A106FEB6443}"/>
              </c:ext>
            </c:extLst>
          </c:dPt>
          <c:dPt>
            <c:idx val="11"/>
            <c:bubble3D val="0"/>
            <c:spPr>
              <a:pattFill prst="ltUpDiag">
                <a:fgClr>
                  <a:schemeClr val="accent6">
                    <a:lumMod val="60000"/>
                  </a:schemeClr>
                </a:fgClr>
                <a:bgClr>
                  <a:schemeClr val="accent6">
                    <a:lumMod val="60000"/>
                    <a:lumMod val="20000"/>
                    <a:lumOff val="80000"/>
                  </a:schemeClr>
                </a:bgClr>
              </a:pattFill>
              <a:ln w="19050">
                <a:solidFill>
                  <a:schemeClr val="lt1"/>
                </a:solidFill>
              </a:ln>
              <a:effectLst>
                <a:innerShdw blurRad="114300">
                  <a:schemeClr val="accent6">
                    <a:lumMod val="60000"/>
                  </a:schemeClr>
                </a:innerShdw>
              </a:effectLst>
            </c:spPr>
            <c:extLst>
              <c:ext xmlns:c16="http://schemas.microsoft.com/office/drawing/2014/chart" uri="{C3380CC4-5D6E-409C-BE32-E72D297353CC}">
                <c16:uniqueId val="{00000017-9138-4899-8B42-0A106FEB6443}"/>
              </c:ext>
            </c:extLst>
          </c:dPt>
          <c:dLbls>
            <c:dLbl>
              <c:idx val="2"/>
              <c:layout>
                <c:manualLayout>
                  <c:x val="9.8801055104060814E-2"/>
                  <c:y val="-2.7349610792823605E-2"/>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5-E39F-45E3-8896-6A410148F6CF}"/>
                </c:ext>
              </c:extLst>
            </c:dLbl>
            <c:dLbl>
              <c:idx val="3"/>
              <c:layout>
                <c:manualLayout>
                  <c:x val="-5.7022277696905453E-2"/>
                  <c:y val="3.7762558055480649E-2"/>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7-E39F-45E3-8896-6A410148F6CF}"/>
                </c:ext>
              </c:extLst>
            </c:dLbl>
            <c:dLbl>
              <c:idx val="4"/>
              <c:layout>
                <c:manualLayout>
                  <c:x val="-0.23550189838028165"/>
                  <c:y val="0.14905033099326823"/>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9-E39F-45E3-8896-6A410148F6CF}"/>
                </c:ext>
              </c:extLst>
            </c:dLbl>
            <c:dLbl>
              <c:idx val="5"/>
              <c:layout>
                <c:manualLayout>
                  <c:x val="-9.7306188716327364E-3"/>
                  <c:y val="8.434898101623478E-4"/>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B-0C67-497F-B27E-A39059413FF5}"/>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rgbClr val="8F45C7"/>
                    </a:solidFill>
                    <a:latin typeface="BrowalliaUPC" panose="020B0604020202020204" pitchFamily="34" charset="-34"/>
                    <a:ea typeface="+mn-ea"/>
                    <a:cs typeface="BrowalliaUPC" panose="020B0604020202020204" pitchFamily="34" charset="-34"/>
                  </a:defRPr>
                </a:pPr>
                <a:endParaRPr lang="en-US"/>
              </a:p>
            </c:txPr>
            <c:showLegendKey val="0"/>
            <c:showVal val="0"/>
            <c:showCatName val="1"/>
            <c:showSerName val="0"/>
            <c:showPercent val="1"/>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ext>
            </c:extLst>
          </c:dLbls>
          <c:cat>
            <c:strRef>
              <c:f>'Portafolio Actual'!$W$6:$W$17</c:f>
              <c:strCache>
                <c:ptCount val="12"/>
                <c:pt idx="0">
                  <c:v> Industrial </c:v>
                </c:pt>
                <c:pt idx="1">
                  <c:v> Consumo discrecional </c:v>
                </c:pt>
                <c:pt idx="2">
                  <c:v> Materiales </c:v>
                </c:pt>
                <c:pt idx="3">
                  <c:v> Financiero </c:v>
                </c:pt>
                <c:pt idx="4">
                  <c:v> Servicios de comunicación </c:v>
                </c:pt>
                <c:pt idx="5">
                  <c:v> Efectivo </c:v>
                </c:pt>
                <c:pt idx="6">
                  <c:v> #NA </c:v>
                </c:pt>
                <c:pt idx="7">
                  <c:v> #NA </c:v>
                </c:pt>
                <c:pt idx="8">
                  <c:v> #NA </c:v>
                </c:pt>
                <c:pt idx="9">
                  <c:v> #NA </c:v>
                </c:pt>
                <c:pt idx="10">
                  <c:v> #NA </c:v>
                </c:pt>
                <c:pt idx="11">
                  <c:v> #NA </c:v>
                </c:pt>
              </c:strCache>
            </c:strRef>
          </c:cat>
          <c:val>
            <c:numRef>
              <c:f>'Portafolio Actual'!$X$6:$X$17</c:f>
              <c:numCache>
                <c:formatCode>0.00%</c:formatCode>
                <c:ptCount val="12"/>
                <c:pt idx="0">
                  <c:v>0.1301726537514655</c:v>
                </c:pt>
                <c:pt idx="1">
                  <c:v>0.20001944869804306</c:v>
                </c:pt>
                <c:pt idx="2">
                  <c:v>0.2342105131158988</c:v>
                </c:pt>
                <c:pt idx="3">
                  <c:v>0.36400883673787265</c:v>
                </c:pt>
                <c:pt idx="4">
                  <c:v>6.6944637883555577E-2</c:v>
                </c:pt>
                <c:pt idx="5">
                  <c:v>4.6439098131642797E-3</c:v>
                </c:pt>
                <c:pt idx="6">
                  <c:v>#N/A</c:v>
                </c:pt>
                <c:pt idx="7">
                  <c:v>#N/A</c:v>
                </c:pt>
                <c:pt idx="8">
                  <c:v>#N/A</c:v>
                </c:pt>
                <c:pt idx="9">
                  <c:v>#N/A</c:v>
                </c:pt>
                <c:pt idx="10">
                  <c:v>#N/A</c:v>
                </c:pt>
                <c:pt idx="11">
                  <c:v>#N/A</c:v>
                </c:pt>
              </c:numCache>
            </c:numRef>
          </c:val>
          <c:extLst>
            <c:ext xmlns:c16="http://schemas.microsoft.com/office/drawing/2014/chart" uri="{C3380CC4-5D6E-409C-BE32-E72D297353CC}">
              <c16:uniqueId val="{0000000A-E39F-45E3-8896-6A410148F6CF}"/>
            </c:ext>
          </c:extLst>
        </c:ser>
        <c:dLbls>
          <c:showLegendKey val="0"/>
          <c:showVal val="0"/>
          <c:showCatName val="1"/>
          <c:showSerName val="0"/>
          <c:showPercent val="1"/>
          <c:showBubbleSize val="0"/>
          <c:showLeaderLines val="0"/>
        </c:dLbls>
        <c:firstSliceAng val="0"/>
      </c:pieChart>
      <c:spPr>
        <a:noFill/>
        <a:ln>
          <a:noFill/>
        </a:ln>
        <a:effectLst/>
      </c:spPr>
    </c:plotArea>
    <c:plotVisOnly val="0"/>
    <c:dispBlanksAs val="gap"/>
    <c:extLst>
      <c:ext xmlns:c16r3="http://schemas.microsoft.com/office/drawing/2017/03/chart" uri="{56B9EC1D-385E-4148-901F-78D8002777C0}">
        <c16r3:dataDisplayOptions16>
          <c16r3:dispNaAsBlank val="1"/>
        </c16r3:dataDisplayOptions16>
      </c:ext>
    </c:extLst>
    <c:showDLblsOverMax val="0"/>
  </c:chart>
  <c:spPr>
    <a:gradFill flip="none" rotWithShape="1">
      <a:gsLst>
        <a:gs pos="1000">
          <a:srgbClr val="CDACE6"/>
        </a:gs>
        <a:gs pos="56000">
          <a:srgbClr val="784FC9"/>
        </a:gs>
        <a:gs pos="100000">
          <a:srgbClr val="7847C9"/>
        </a:gs>
      </a:gsLst>
      <a:lin ang="2700000" scaled="1"/>
      <a:tileRect/>
    </a:gradFill>
    <a:ln w="9525" cap="flat" cmpd="sng" algn="ctr">
      <a:solidFill>
        <a:schemeClr val="tx1">
          <a:lumMod val="15000"/>
          <a:lumOff val="85000"/>
        </a:schemeClr>
      </a:solidFill>
      <a:round/>
    </a:ln>
    <a:effectLst/>
  </c:spPr>
  <c:txPr>
    <a:bodyPr/>
    <a:lstStyle/>
    <a:p>
      <a:pPr>
        <a:defRPr>
          <a:latin typeface="BrowalliaUPC" panose="020B0604020202020204" pitchFamily="34" charset="-34"/>
          <a:cs typeface="BrowalliaUPC" panose="020B0604020202020204" pitchFamily="34" charset="-34"/>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cap="all" spc="150" baseline="0">
                <a:solidFill>
                  <a:schemeClr val="bg1"/>
                </a:solidFill>
                <a:latin typeface="BrowalliaUPC" panose="020B0604020202020204" pitchFamily="34" charset="-34"/>
                <a:ea typeface="+mn-ea"/>
                <a:cs typeface="BrowalliaUPC" panose="020B0604020202020204" pitchFamily="34" charset="-34"/>
              </a:defRPr>
            </a:pPr>
            <a:r>
              <a:rPr lang="en-US" sz="1400" baseline="0">
                <a:solidFill>
                  <a:schemeClr val="bg1"/>
                </a:solidFill>
              </a:rPr>
              <a:t>% por sectores (GICS)</a:t>
            </a:r>
            <a:endParaRPr lang="en-US" sz="1400">
              <a:solidFill>
                <a:schemeClr val="bg1"/>
              </a:solidFill>
            </a:endParaRPr>
          </a:p>
        </c:rich>
      </c:tx>
      <c:layout>
        <c:manualLayout>
          <c:xMode val="edge"/>
          <c:yMode val="edge"/>
          <c:x val="0.17326174522132737"/>
          <c:y val="1.1100850351359395E-2"/>
        </c:manualLayout>
      </c:layout>
      <c:overlay val="0"/>
      <c:spPr>
        <a:noFill/>
        <a:ln>
          <a:noFill/>
        </a:ln>
        <a:effectLst/>
      </c:spPr>
      <c:txPr>
        <a:bodyPr rot="0" spcFirstLastPara="1" vertOverflow="ellipsis" vert="horz" wrap="square" anchor="ctr" anchorCtr="1"/>
        <a:lstStyle/>
        <a:p>
          <a:pPr>
            <a:defRPr sz="1400" b="1" i="0" u="none" strike="noStrike" kern="1200" cap="all" spc="150" baseline="0">
              <a:solidFill>
                <a:schemeClr val="bg1"/>
              </a:solidFill>
              <a:latin typeface="BrowalliaUPC" panose="020B0604020202020204" pitchFamily="34" charset="-34"/>
              <a:ea typeface="+mn-ea"/>
              <a:cs typeface="BrowalliaUPC" panose="020B0604020202020204" pitchFamily="34" charset="-34"/>
            </a:defRPr>
          </a:pPr>
          <a:endParaRPr lang="en-US"/>
        </a:p>
      </c:txPr>
    </c:title>
    <c:autoTitleDeleted val="0"/>
    <c:plotArea>
      <c:layout/>
      <c:pieChart>
        <c:varyColors val="1"/>
        <c:ser>
          <c:idx val="0"/>
          <c:order val="0"/>
          <c:tx>
            <c:strRef>
              <c:f>'Portafolio Actual'!$B$2:$C$2</c:f>
              <c:strCache>
                <c:ptCount val="1"/>
                <c:pt idx="0">
                  <c:v>IPC Regresión a la media</c:v>
                </c:pt>
              </c:strCache>
            </c:strRef>
          </c:tx>
          <c:dPt>
            <c:idx val="0"/>
            <c:bubble3D val="0"/>
            <c:spPr>
              <a:pattFill prst="ltUpDiag">
                <a:fgClr>
                  <a:schemeClr val="accent1"/>
                </a:fgClr>
                <a:bgClr>
                  <a:schemeClr val="accent1">
                    <a:lumMod val="20000"/>
                    <a:lumOff val="80000"/>
                  </a:schemeClr>
                </a:bgClr>
              </a:pattFill>
              <a:ln w="19050">
                <a:solidFill>
                  <a:schemeClr val="lt1"/>
                </a:solidFill>
              </a:ln>
              <a:effectLst>
                <a:innerShdw blurRad="114300">
                  <a:schemeClr val="accent1"/>
                </a:innerShdw>
              </a:effectLst>
            </c:spPr>
            <c:extLst>
              <c:ext xmlns:c16="http://schemas.microsoft.com/office/drawing/2014/chart" uri="{C3380CC4-5D6E-409C-BE32-E72D297353CC}">
                <c16:uniqueId val="{00000001-4C8B-4238-BC95-01C2233EA8C5}"/>
              </c:ext>
            </c:extLst>
          </c:dPt>
          <c:dPt>
            <c:idx val="1"/>
            <c:bubble3D val="0"/>
            <c:spPr>
              <a:pattFill prst="ltUpDiag">
                <a:fgClr>
                  <a:schemeClr val="accent2"/>
                </a:fgClr>
                <a:bgClr>
                  <a:schemeClr val="accent2">
                    <a:lumMod val="20000"/>
                    <a:lumOff val="80000"/>
                  </a:schemeClr>
                </a:bgClr>
              </a:pattFill>
              <a:ln w="19050">
                <a:solidFill>
                  <a:schemeClr val="lt1"/>
                </a:solidFill>
              </a:ln>
              <a:effectLst>
                <a:innerShdw blurRad="114300">
                  <a:schemeClr val="accent2"/>
                </a:innerShdw>
              </a:effectLst>
            </c:spPr>
            <c:extLst>
              <c:ext xmlns:c16="http://schemas.microsoft.com/office/drawing/2014/chart" uri="{C3380CC4-5D6E-409C-BE32-E72D297353CC}">
                <c16:uniqueId val="{00000003-4C8B-4238-BC95-01C2233EA8C5}"/>
              </c:ext>
            </c:extLst>
          </c:dPt>
          <c:dPt>
            <c:idx val="2"/>
            <c:bubble3D val="0"/>
            <c:spPr>
              <a:pattFill prst="ltUpDiag">
                <a:fgClr>
                  <a:schemeClr val="accent3"/>
                </a:fgClr>
                <a:bgClr>
                  <a:schemeClr val="accent3">
                    <a:lumMod val="20000"/>
                    <a:lumOff val="80000"/>
                  </a:schemeClr>
                </a:bgClr>
              </a:pattFill>
              <a:ln w="19050">
                <a:solidFill>
                  <a:schemeClr val="lt1"/>
                </a:solidFill>
              </a:ln>
              <a:effectLst>
                <a:innerShdw blurRad="114300">
                  <a:schemeClr val="accent3"/>
                </a:innerShdw>
              </a:effectLst>
            </c:spPr>
            <c:extLst>
              <c:ext xmlns:c16="http://schemas.microsoft.com/office/drawing/2014/chart" uri="{C3380CC4-5D6E-409C-BE32-E72D297353CC}">
                <c16:uniqueId val="{00000005-4C8B-4238-BC95-01C2233EA8C5}"/>
              </c:ext>
            </c:extLst>
          </c:dPt>
          <c:dPt>
            <c:idx val="3"/>
            <c:bubble3D val="0"/>
            <c:spPr>
              <a:pattFill prst="ltUpDiag">
                <a:fgClr>
                  <a:schemeClr val="accent4"/>
                </a:fgClr>
                <a:bgClr>
                  <a:schemeClr val="accent4">
                    <a:lumMod val="20000"/>
                    <a:lumOff val="80000"/>
                  </a:schemeClr>
                </a:bgClr>
              </a:pattFill>
              <a:ln w="19050">
                <a:solidFill>
                  <a:schemeClr val="lt1"/>
                </a:solidFill>
              </a:ln>
              <a:effectLst>
                <a:innerShdw blurRad="114300">
                  <a:schemeClr val="accent4"/>
                </a:innerShdw>
              </a:effectLst>
            </c:spPr>
            <c:extLst>
              <c:ext xmlns:c16="http://schemas.microsoft.com/office/drawing/2014/chart" uri="{C3380CC4-5D6E-409C-BE32-E72D297353CC}">
                <c16:uniqueId val="{00000007-4C8B-4238-BC95-01C2233EA8C5}"/>
              </c:ext>
            </c:extLst>
          </c:dPt>
          <c:dPt>
            <c:idx val="4"/>
            <c:bubble3D val="0"/>
            <c:spPr>
              <a:pattFill prst="ltUpDiag">
                <a:fgClr>
                  <a:schemeClr val="accent5"/>
                </a:fgClr>
                <a:bgClr>
                  <a:schemeClr val="accent5">
                    <a:lumMod val="20000"/>
                    <a:lumOff val="80000"/>
                  </a:schemeClr>
                </a:bgClr>
              </a:pattFill>
              <a:ln w="19050">
                <a:solidFill>
                  <a:schemeClr val="lt1"/>
                </a:solidFill>
              </a:ln>
              <a:effectLst>
                <a:innerShdw blurRad="114300">
                  <a:schemeClr val="accent5"/>
                </a:innerShdw>
              </a:effectLst>
            </c:spPr>
            <c:extLst>
              <c:ext xmlns:c16="http://schemas.microsoft.com/office/drawing/2014/chart" uri="{C3380CC4-5D6E-409C-BE32-E72D297353CC}">
                <c16:uniqueId val="{00000009-4C8B-4238-BC95-01C2233EA8C5}"/>
              </c:ext>
            </c:extLst>
          </c:dPt>
          <c:dPt>
            <c:idx val="5"/>
            <c:bubble3D val="0"/>
            <c:spPr>
              <a:pattFill prst="ltUpDiag">
                <a:fgClr>
                  <a:schemeClr val="accent6"/>
                </a:fgClr>
                <a:bgClr>
                  <a:schemeClr val="accent6">
                    <a:lumMod val="20000"/>
                    <a:lumOff val="80000"/>
                  </a:schemeClr>
                </a:bgClr>
              </a:pattFill>
              <a:ln w="19050">
                <a:solidFill>
                  <a:schemeClr val="lt1"/>
                </a:solidFill>
              </a:ln>
              <a:effectLst>
                <a:innerShdw blurRad="114300">
                  <a:schemeClr val="accent6"/>
                </a:innerShdw>
              </a:effectLst>
            </c:spPr>
            <c:extLst>
              <c:ext xmlns:c16="http://schemas.microsoft.com/office/drawing/2014/chart" uri="{C3380CC4-5D6E-409C-BE32-E72D297353CC}">
                <c16:uniqueId val="{0000000B-C875-4088-9C3F-BBFFFBBD21FC}"/>
              </c:ext>
            </c:extLst>
          </c:dPt>
          <c:dPt>
            <c:idx val="6"/>
            <c:bubble3D val="0"/>
            <c:spPr>
              <a:pattFill prst="ltUpDiag">
                <a:fgClr>
                  <a:schemeClr val="accent1">
                    <a:lumMod val="60000"/>
                  </a:schemeClr>
                </a:fgClr>
                <a:bgClr>
                  <a:schemeClr val="accent1">
                    <a:lumMod val="60000"/>
                    <a:lumMod val="20000"/>
                    <a:lumOff val="80000"/>
                  </a:schemeClr>
                </a:bgClr>
              </a:pattFill>
              <a:ln w="19050">
                <a:solidFill>
                  <a:schemeClr val="lt1"/>
                </a:solidFill>
              </a:ln>
              <a:effectLst>
                <a:innerShdw blurRad="114300">
                  <a:schemeClr val="accent1">
                    <a:lumMod val="60000"/>
                  </a:schemeClr>
                </a:innerShdw>
              </a:effectLst>
            </c:spPr>
            <c:extLst>
              <c:ext xmlns:c16="http://schemas.microsoft.com/office/drawing/2014/chart" uri="{C3380CC4-5D6E-409C-BE32-E72D297353CC}">
                <c16:uniqueId val="{0000000D-C875-4088-9C3F-BBFFFBBD21FC}"/>
              </c:ext>
            </c:extLst>
          </c:dPt>
          <c:dPt>
            <c:idx val="7"/>
            <c:bubble3D val="0"/>
            <c:spPr>
              <a:pattFill prst="ltUpDiag">
                <a:fgClr>
                  <a:schemeClr val="accent2">
                    <a:lumMod val="60000"/>
                  </a:schemeClr>
                </a:fgClr>
                <a:bgClr>
                  <a:schemeClr val="accent2">
                    <a:lumMod val="60000"/>
                    <a:lumMod val="20000"/>
                    <a:lumOff val="80000"/>
                  </a:schemeClr>
                </a:bgClr>
              </a:pattFill>
              <a:ln w="19050">
                <a:solidFill>
                  <a:schemeClr val="lt1"/>
                </a:solidFill>
              </a:ln>
              <a:effectLst>
                <a:innerShdw blurRad="114300">
                  <a:schemeClr val="accent2">
                    <a:lumMod val="60000"/>
                  </a:schemeClr>
                </a:innerShdw>
              </a:effectLst>
            </c:spPr>
            <c:extLst>
              <c:ext xmlns:c16="http://schemas.microsoft.com/office/drawing/2014/chart" uri="{C3380CC4-5D6E-409C-BE32-E72D297353CC}">
                <c16:uniqueId val="{0000000F-C875-4088-9C3F-BBFFFBBD21FC}"/>
              </c:ext>
            </c:extLst>
          </c:dPt>
          <c:dPt>
            <c:idx val="8"/>
            <c:bubble3D val="0"/>
            <c:spPr>
              <a:pattFill prst="ltUpDiag">
                <a:fgClr>
                  <a:schemeClr val="accent3">
                    <a:lumMod val="60000"/>
                  </a:schemeClr>
                </a:fgClr>
                <a:bgClr>
                  <a:schemeClr val="accent3">
                    <a:lumMod val="60000"/>
                    <a:lumMod val="20000"/>
                    <a:lumOff val="80000"/>
                  </a:schemeClr>
                </a:bgClr>
              </a:pattFill>
              <a:ln w="19050">
                <a:solidFill>
                  <a:schemeClr val="lt1"/>
                </a:solidFill>
              </a:ln>
              <a:effectLst>
                <a:innerShdw blurRad="114300">
                  <a:schemeClr val="accent3">
                    <a:lumMod val="60000"/>
                  </a:schemeClr>
                </a:innerShdw>
              </a:effectLst>
            </c:spPr>
            <c:extLst>
              <c:ext xmlns:c16="http://schemas.microsoft.com/office/drawing/2014/chart" uri="{C3380CC4-5D6E-409C-BE32-E72D297353CC}">
                <c16:uniqueId val="{00000011-C875-4088-9C3F-BBFFFBBD21FC}"/>
              </c:ext>
            </c:extLst>
          </c:dPt>
          <c:dPt>
            <c:idx val="9"/>
            <c:bubble3D val="0"/>
            <c:spPr>
              <a:pattFill prst="ltUpDiag">
                <a:fgClr>
                  <a:schemeClr val="accent4">
                    <a:lumMod val="60000"/>
                  </a:schemeClr>
                </a:fgClr>
                <a:bgClr>
                  <a:schemeClr val="accent4">
                    <a:lumMod val="60000"/>
                    <a:lumMod val="20000"/>
                    <a:lumOff val="80000"/>
                  </a:schemeClr>
                </a:bgClr>
              </a:pattFill>
              <a:ln w="19050">
                <a:solidFill>
                  <a:schemeClr val="lt1"/>
                </a:solidFill>
              </a:ln>
              <a:effectLst>
                <a:innerShdw blurRad="114300">
                  <a:schemeClr val="accent4">
                    <a:lumMod val="60000"/>
                  </a:schemeClr>
                </a:innerShdw>
              </a:effectLst>
            </c:spPr>
            <c:extLst>
              <c:ext xmlns:c16="http://schemas.microsoft.com/office/drawing/2014/chart" uri="{C3380CC4-5D6E-409C-BE32-E72D297353CC}">
                <c16:uniqueId val="{00000013-6E99-4613-A704-D21B84070569}"/>
              </c:ext>
            </c:extLst>
          </c:dPt>
          <c:dPt>
            <c:idx val="10"/>
            <c:bubble3D val="0"/>
            <c:spPr>
              <a:pattFill prst="ltUpDiag">
                <a:fgClr>
                  <a:schemeClr val="accent5">
                    <a:lumMod val="60000"/>
                  </a:schemeClr>
                </a:fgClr>
                <a:bgClr>
                  <a:schemeClr val="accent5">
                    <a:lumMod val="60000"/>
                    <a:lumMod val="20000"/>
                    <a:lumOff val="80000"/>
                  </a:schemeClr>
                </a:bgClr>
              </a:pattFill>
              <a:ln w="19050">
                <a:solidFill>
                  <a:schemeClr val="lt1"/>
                </a:solidFill>
              </a:ln>
              <a:effectLst>
                <a:innerShdw blurRad="114300">
                  <a:schemeClr val="accent5">
                    <a:lumMod val="60000"/>
                  </a:schemeClr>
                </a:innerShdw>
              </a:effectLst>
            </c:spPr>
            <c:extLst>
              <c:ext xmlns:c16="http://schemas.microsoft.com/office/drawing/2014/chart" uri="{C3380CC4-5D6E-409C-BE32-E72D297353CC}">
                <c16:uniqueId val="{00000015-6E99-4613-A704-D21B84070569}"/>
              </c:ext>
            </c:extLst>
          </c:dPt>
          <c:dPt>
            <c:idx val="11"/>
            <c:bubble3D val="0"/>
            <c:spPr>
              <a:pattFill prst="ltUpDiag">
                <a:fgClr>
                  <a:schemeClr val="accent6">
                    <a:lumMod val="60000"/>
                  </a:schemeClr>
                </a:fgClr>
                <a:bgClr>
                  <a:schemeClr val="accent6">
                    <a:lumMod val="60000"/>
                    <a:lumMod val="20000"/>
                    <a:lumOff val="80000"/>
                  </a:schemeClr>
                </a:bgClr>
              </a:pattFill>
              <a:ln w="19050">
                <a:solidFill>
                  <a:schemeClr val="lt1"/>
                </a:solidFill>
              </a:ln>
              <a:effectLst>
                <a:innerShdw blurRad="114300">
                  <a:schemeClr val="accent6">
                    <a:lumMod val="60000"/>
                  </a:schemeClr>
                </a:innerShdw>
              </a:effectLst>
            </c:spPr>
            <c:extLst>
              <c:ext xmlns:c16="http://schemas.microsoft.com/office/drawing/2014/chart" uri="{C3380CC4-5D6E-409C-BE32-E72D297353CC}">
                <c16:uniqueId val="{00000017-6E99-4613-A704-D21B84070569}"/>
              </c:ext>
            </c:extLst>
          </c:dPt>
          <c:dLbls>
            <c:dLbl>
              <c:idx val="0"/>
              <c:layout>
                <c:manualLayout>
                  <c:x val="0.16321085838934207"/>
                  <c:y val="7.4019508651889138E-2"/>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1-4C8B-4238-BC95-01C2233EA8C5}"/>
                </c:ext>
              </c:extLst>
            </c:dLbl>
            <c:dLbl>
              <c:idx val="2"/>
              <c:layout>
                <c:manualLayout>
                  <c:x val="8.3135899749516282E-2"/>
                  <c:y val="-1.6248760441464314E-2"/>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5-4C8B-4238-BC95-01C2233EA8C5}"/>
                </c:ext>
              </c:extLst>
            </c:dLbl>
            <c:dLbl>
              <c:idx val="3"/>
              <c:layout>
                <c:manualLayout>
                  <c:x val="-3.4357682175502773E-2"/>
                  <c:y val="3.931536598061372E-2"/>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7-4C8B-4238-BC95-01C2233EA8C5}"/>
                </c:ext>
              </c:extLst>
            </c:dLbl>
            <c:dLbl>
              <c:idx val="4"/>
              <c:layout>
                <c:manualLayout>
                  <c:x val="-0.26641920075087494"/>
                  <c:y val="0.12979865941935559"/>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9-4C8B-4238-BC95-01C2233EA8C5}"/>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rgbClr val="8F45C7"/>
                    </a:solidFill>
                    <a:latin typeface="BrowalliaUPC" panose="020B0604020202020204" pitchFamily="34" charset="-34"/>
                    <a:ea typeface="+mn-ea"/>
                    <a:cs typeface="BrowalliaUPC" panose="020B0604020202020204" pitchFamily="34" charset="-34"/>
                  </a:defRPr>
                </a:pPr>
                <a:endParaRPr lang="en-US"/>
              </a:p>
            </c:txPr>
            <c:showLegendKey val="0"/>
            <c:showVal val="0"/>
            <c:showCatName val="1"/>
            <c:showSerName val="0"/>
            <c:showPercent val="1"/>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ext>
            </c:extLst>
          </c:dLbls>
          <c:cat>
            <c:strRef>
              <c:f>'Portafolio Actual'!$W$6:$W$17</c:f>
              <c:strCache>
                <c:ptCount val="12"/>
                <c:pt idx="0">
                  <c:v> Industrial </c:v>
                </c:pt>
                <c:pt idx="1">
                  <c:v> Consumo discrecional </c:v>
                </c:pt>
                <c:pt idx="2">
                  <c:v> Materiales </c:v>
                </c:pt>
                <c:pt idx="3">
                  <c:v> Financiero </c:v>
                </c:pt>
                <c:pt idx="4">
                  <c:v> Servicios de comunicación </c:v>
                </c:pt>
                <c:pt idx="5">
                  <c:v> Efectivo </c:v>
                </c:pt>
                <c:pt idx="6">
                  <c:v> #NA </c:v>
                </c:pt>
                <c:pt idx="7">
                  <c:v> #NA </c:v>
                </c:pt>
                <c:pt idx="8">
                  <c:v> #NA </c:v>
                </c:pt>
                <c:pt idx="9">
                  <c:v> #NA </c:v>
                </c:pt>
                <c:pt idx="10">
                  <c:v> #NA </c:v>
                </c:pt>
                <c:pt idx="11">
                  <c:v> #NA </c:v>
                </c:pt>
              </c:strCache>
            </c:strRef>
          </c:cat>
          <c:val>
            <c:numRef>
              <c:f>'Portafolio Actual'!$Z$6:$Z$17</c:f>
              <c:numCache>
                <c:formatCode>0.00%</c:formatCode>
                <c:ptCount val="12"/>
                <c:pt idx="0">
                  <c:v>0.13056599578857422</c:v>
                </c:pt>
                <c:pt idx="1">
                  <c:v>0.20056400022506715</c:v>
                </c:pt>
                <c:pt idx="2">
                  <c:v>0.23440899505615234</c:v>
                </c:pt>
                <c:pt idx="3">
                  <c:v>0.36635299110412595</c:v>
                </c:pt>
                <c:pt idx="4">
                  <c:v>6.6780001068115241E-2</c:v>
                </c:pt>
                <c:pt idx="5">
                  <c:v>1.3280167579650878E-3</c:v>
                </c:pt>
                <c:pt idx="6">
                  <c:v>#N/A</c:v>
                </c:pt>
                <c:pt idx="7">
                  <c:v>#N/A</c:v>
                </c:pt>
                <c:pt idx="8">
                  <c:v>#N/A</c:v>
                </c:pt>
                <c:pt idx="9">
                  <c:v>#N/A</c:v>
                </c:pt>
                <c:pt idx="10">
                  <c:v>#N/A</c:v>
                </c:pt>
                <c:pt idx="11">
                  <c:v>#N/A</c:v>
                </c:pt>
              </c:numCache>
            </c:numRef>
          </c:val>
          <c:extLst>
            <c:ext xmlns:c16="http://schemas.microsoft.com/office/drawing/2014/chart" uri="{C3380CC4-5D6E-409C-BE32-E72D297353CC}">
              <c16:uniqueId val="{0000000A-4C8B-4238-BC95-01C2233EA8C5}"/>
            </c:ext>
          </c:extLst>
        </c:ser>
        <c:dLbls>
          <c:showLegendKey val="0"/>
          <c:showVal val="0"/>
          <c:showCatName val="1"/>
          <c:showSerName val="0"/>
          <c:showPercent val="1"/>
          <c:showBubbleSize val="0"/>
          <c:showLeaderLines val="0"/>
        </c:dLbls>
        <c:firstSliceAng val="0"/>
      </c:pieChart>
      <c:spPr>
        <a:noFill/>
        <a:ln>
          <a:noFill/>
        </a:ln>
        <a:effectLst/>
      </c:spPr>
    </c:plotArea>
    <c:plotVisOnly val="0"/>
    <c:dispBlanksAs val="gap"/>
    <c:extLst>
      <c:ext xmlns:c16r3="http://schemas.microsoft.com/office/drawing/2017/03/chart" uri="{56B9EC1D-385E-4148-901F-78D8002777C0}">
        <c16r3:dataDisplayOptions16>
          <c16r3:dispNaAsBlank val="1"/>
        </c16r3:dataDisplayOptions16>
      </c:ext>
    </c:extLst>
    <c:showDLblsOverMax val="0"/>
  </c:chart>
  <c:spPr>
    <a:gradFill flip="none" rotWithShape="1">
      <a:gsLst>
        <a:gs pos="1000">
          <a:srgbClr val="CDACE6"/>
        </a:gs>
        <a:gs pos="56000">
          <a:srgbClr val="784FC9"/>
        </a:gs>
        <a:gs pos="100000">
          <a:srgbClr val="7847C9"/>
        </a:gs>
      </a:gsLst>
      <a:lin ang="2700000" scaled="1"/>
      <a:tileRect/>
    </a:gradFill>
    <a:ln w="9525" cap="flat" cmpd="sng" algn="ctr">
      <a:solidFill>
        <a:schemeClr val="tx1">
          <a:lumMod val="15000"/>
          <a:lumOff val="85000"/>
        </a:schemeClr>
      </a:solidFill>
      <a:round/>
    </a:ln>
    <a:effectLst/>
  </c:spPr>
  <c:txPr>
    <a:bodyPr/>
    <a:lstStyle/>
    <a:p>
      <a:pPr>
        <a:defRPr>
          <a:latin typeface="BrowalliaUPC" panose="020B0604020202020204" pitchFamily="34" charset="-34"/>
          <a:cs typeface="BrowalliaUPC" panose="020B0604020202020204" pitchFamily="34" charset="-34"/>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33">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9525" cap="flat" cmpd="sng" algn="ctr">
        <a:solidFill>
          <a:schemeClr val="lt1">
            <a:lumMod val="95000"/>
            <a:alpha val="10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2.xml><?xml version="1.0" encoding="utf-8"?>
<cs:chartStyle xmlns:cs="http://schemas.microsoft.com/office/drawing/2012/chartStyle" xmlns:a="http://schemas.openxmlformats.org/drawingml/2006/main" id="252">
  <cs:axisTitle>
    <cs:lnRef idx="0"/>
    <cs:fillRef idx="0"/>
    <cs:effectRef idx="0"/>
    <cs:fontRef idx="minor">
      <a:schemeClr val="tx1">
        <a:lumMod val="65000"/>
        <a:lumOff val="35000"/>
      </a:schemeClr>
    </cs:fontRef>
    <cs:defRPr sz="900" b="1" kern="1200"/>
  </cs:axisTitle>
  <cs:categoryAxis>
    <cs:lnRef idx="0"/>
    <cs:fillRef idx="0"/>
    <cs:effectRef idx="0"/>
    <cs:fontRef idx="minor">
      <a:schemeClr val="tx1">
        <a:lumMod val="65000"/>
        <a:lumOff val="35000"/>
      </a:schemeClr>
    </cs:fontRef>
    <cs:spPr>
      <a:ln w="19050"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styleClr val="auto"/>
    </cs:effectRef>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
  <cs:dataPoint3D>
    <cs:lnRef idx="0"/>
    <cs:fillRef idx="0">
      <cs:styleClr val="auto"/>
    </cs:fillRef>
    <cs:effectRef idx="0"/>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round/>
      </a:ln>
    </cs:spPr>
  </cs:dropLine>
  <cs:errorBar>
    <cs:lnRef idx="0"/>
    <cs:fillRef idx="0"/>
    <cs:effectRef idx="0"/>
    <cs:fontRef idx="minor">
      <a:schemeClr val="dk1"/>
    </cs:fontRef>
    <cs:spPr>
      <a:ln w="9525">
        <a:solidFill>
          <a:schemeClr val="tx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a:solidFill>
          <a:schemeClr val="tx1">
            <a:lumMod val="15000"/>
            <a:lumOff val="85000"/>
          </a:schemeClr>
        </a:solidFill>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35000"/>
            <a:lumOff val="65000"/>
          </a:schemeClr>
        </a:solidFill>
        <a:round/>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50000"/>
        <a:lumOff val="50000"/>
      </a:schemeClr>
    </cs:fontRef>
    <cs:defRPr sz="1800" b="1" kern="1200" cap="all" spc="15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charts/style3.xml><?xml version="1.0" encoding="utf-8"?>
<cs:chartStyle xmlns:cs="http://schemas.microsoft.com/office/drawing/2012/chartStyle" xmlns:a="http://schemas.openxmlformats.org/drawingml/2006/main" id="252">
  <cs:axisTitle>
    <cs:lnRef idx="0"/>
    <cs:fillRef idx="0"/>
    <cs:effectRef idx="0"/>
    <cs:fontRef idx="minor">
      <a:schemeClr val="tx1">
        <a:lumMod val="65000"/>
        <a:lumOff val="35000"/>
      </a:schemeClr>
    </cs:fontRef>
    <cs:defRPr sz="900" b="1" kern="1200"/>
  </cs:axisTitle>
  <cs:categoryAxis>
    <cs:lnRef idx="0"/>
    <cs:fillRef idx="0"/>
    <cs:effectRef idx="0"/>
    <cs:fontRef idx="minor">
      <a:schemeClr val="tx1">
        <a:lumMod val="65000"/>
        <a:lumOff val="35000"/>
      </a:schemeClr>
    </cs:fontRef>
    <cs:spPr>
      <a:ln w="19050"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styleClr val="auto"/>
    </cs:effectRef>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
  <cs:dataPoint3D>
    <cs:lnRef idx="0"/>
    <cs:fillRef idx="0">
      <cs:styleClr val="auto"/>
    </cs:fillRef>
    <cs:effectRef idx="0"/>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round/>
      </a:ln>
    </cs:spPr>
  </cs:dropLine>
  <cs:errorBar>
    <cs:lnRef idx="0"/>
    <cs:fillRef idx="0"/>
    <cs:effectRef idx="0"/>
    <cs:fontRef idx="minor">
      <a:schemeClr val="dk1"/>
    </cs:fontRef>
    <cs:spPr>
      <a:ln w="9525">
        <a:solidFill>
          <a:schemeClr val="tx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a:solidFill>
          <a:schemeClr val="tx1">
            <a:lumMod val="15000"/>
            <a:lumOff val="85000"/>
          </a:schemeClr>
        </a:solidFill>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35000"/>
            <a:lumOff val="65000"/>
          </a:schemeClr>
        </a:solidFill>
        <a:round/>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50000"/>
        <a:lumOff val="50000"/>
      </a:schemeClr>
    </cs:fontRef>
    <cs:defRPr sz="1800" b="1" kern="1200" cap="all" spc="15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charts/style4.xml><?xml version="1.0" encoding="utf-8"?>
<cs:chartStyle xmlns:cs="http://schemas.microsoft.com/office/drawing/2012/chartStyle" xmlns:a="http://schemas.openxmlformats.org/drawingml/2006/main" id="252">
  <cs:axisTitle>
    <cs:lnRef idx="0"/>
    <cs:fillRef idx="0"/>
    <cs:effectRef idx="0"/>
    <cs:fontRef idx="minor">
      <a:schemeClr val="tx1">
        <a:lumMod val="65000"/>
        <a:lumOff val="35000"/>
      </a:schemeClr>
    </cs:fontRef>
    <cs:defRPr sz="900" b="1" kern="1200"/>
  </cs:axisTitle>
  <cs:categoryAxis>
    <cs:lnRef idx="0"/>
    <cs:fillRef idx="0"/>
    <cs:effectRef idx="0"/>
    <cs:fontRef idx="minor">
      <a:schemeClr val="tx1">
        <a:lumMod val="65000"/>
        <a:lumOff val="35000"/>
      </a:schemeClr>
    </cs:fontRef>
    <cs:spPr>
      <a:ln w="19050"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styleClr val="auto"/>
    </cs:effectRef>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
  <cs:dataPoint3D>
    <cs:lnRef idx="0"/>
    <cs:fillRef idx="0">
      <cs:styleClr val="auto"/>
    </cs:fillRef>
    <cs:effectRef idx="0"/>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round/>
      </a:ln>
    </cs:spPr>
  </cs:dropLine>
  <cs:errorBar>
    <cs:lnRef idx="0"/>
    <cs:fillRef idx="0"/>
    <cs:effectRef idx="0"/>
    <cs:fontRef idx="minor">
      <a:schemeClr val="dk1"/>
    </cs:fontRef>
    <cs:spPr>
      <a:ln w="9525">
        <a:solidFill>
          <a:schemeClr val="tx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a:solidFill>
          <a:schemeClr val="tx1">
            <a:lumMod val="15000"/>
            <a:lumOff val="85000"/>
          </a:schemeClr>
        </a:solidFill>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35000"/>
            <a:lumOff val="65000"/>
          </a:schemeClr>
        </a:solidFill>
        <a:round/>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50000"/>
        <a:lumOff val="50000"/>
      </a:schemeClr>
    </cs:fontRef>
    <cs:defRPr sz="1800" b="1" kern="1200" cap="all" spc="15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drawings/_rels/drawing1.xml.rels><?xml version="1.0" encoding="UTF-8" standalone="yes"?>
<Relationships xmlns="http://schemas.openxmlformats.org/package/2006/relationships"><Relationship Id="rId2" Type="http://schemas.openxmlformats.org/officeDocument/2006/relationships/chart" Target="../charts/chart1.xml"/><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chart" Target="../charts/chart4.xml"/><Relationship Id="rId2" Type="http://schemas.openxmlformats.org/officeDocument/2006/relationships/chart" Target="../charts/chart3.xml"/><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twoCellAnchor editAs="oneCell">
    <xdr:from>
      <xdr:col>7</xdr:col>
      <xdr:colOff>279400</xdr:colOff>
      <xdr:row>6</xdr:row>
      <xdr:rowOff>88900</xdr:rowOff>
    </xdr:from>
    <xdr:to>
      <xdr:col>11</xdr:col>
      <xdr:colOff>601222</xdr:colOff>
      <xdr:row>10</xdr:row>
      <xdr:rowOff>177974</xdr:rowOff>
    </xdr:to>
    <xdr:pic>
      <xdr:nvPicPr>
        <xdr:cNvPr id="6" name="Imagen 5">
          <a:extLst>
            <a:ext uri="{FF2B5EF4-FFF2-40B4-BE49-F238E27FC236}">
              <a16:creationId xmlns:a16="http://schemas.microsoft.com/office/drawing/2014/main" id="{3C2F79EB-154E-493F-9A72-A010D265D7C4}"/>
            </a:ext>
          </a:extLst>
        </xdr:cNvPr>
        <xdr:cNvPicPr>
          <a:picLocks noChangeAspect="1"/>
        </xdr:cNvPicPr>
      </xdr:nvPicPr>
      <xdr:blipFill rotWithShape="1">
        <a:blip xmlns:r="http://schemas.openxmlformats.org/officeDocument/2006/relationships" r:embed="rId1"/>
        <a:srcRect l="36648" t="28484" r="22076" b="53536"/>
        <a:stretch/>
      </xdr:blipFill>
      <xdr:spPr>
        <a:xfrm>
          <a:off x="6483350" y="1225550"/>
          <a:ext cx="3369822" cy="825674"/>
        </a:xfrm>
        <a:prstGeom prst="rect">
          <a:avLst/>
        </a:prstGeom>
      </xdr:spPr>
    </xdr:pic>
    <xdr:clientData/>
  </xdr:twoCellAnchor>
  <xdr:twoCellAnchor>
    <xdr:from>
      <xdr:col>3</xdr:col>
      <xdr:colOff>88900</xdr:colOff>
      <xdr:row>5</xdr:row>
      <xdr:rowOff>6350</xdr:rowOff>
    </xdr:from>
    <xdr:to>
      <xdr:col>6</xdr:col>
      <xdr:colOff>723900</xdr:colOff>
      <xdr:row>14</xdr:row>
      <xdr:rowOff>19050</xdr:rowOff>
    </xdr:to>
    <xdr:graphicFrame macro="">
      <xdr:nvGraphicFramePr>
        <xdr:cNvPr id="2" name="Gráfico 1">
          <a:extLst>
            <a:ext uri="{FF2B5EF4-FFF2-40B4-BE49-F238E27FC236}">
              <a16:creationId xmlns:a16="http://schemas.microsoft.com/office/drawing/2014/main" id="{B340EE6C-6333-4C3C-8FE3-AFAE884F37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oneCellAnchor>
    <xdr:from>
      <xdr:col>3</xdr:col>
      <xdr:colOff>406401</xdr:colOff>
      <xdr:row>5</xdr:row>
      <xdr:rowOff>139700</xdr:rowOff>
    </xdr:from>
    <xdr:ext cx="914400" cy="139700"/>
    <xdr:sp macro="" textlink="">
      <xdr:nvSpPr>
        <xdr:cNvPr id="3" name="CuadroTexto 2">
          <a:extLst>
            <a:ext uri="{FF2B5EF4-FFF2-40B4-BE49-F238E27FC236}">
              <a16:creationId xmlns:a16="http://schemas.microsoft.com/office/drawing/2014/main" id="{F2F35FF9-B613-16AC-9F6D-4C03FAAB36E1}"/>
            </a:ext>
          </a:extLst>
        </xdr:cNvPr>
        <xdr:cNvSpPr txBox="1"/>
      </xdr:nvSpPr>
      <xdr:spPr>
        <a:xfrm>
          <a:off x="3562351" y="1187450"/>
          <a:ext cx="914400" cy="139700"/>
        </a:xfrm>
        <a:prstGeom prst="rect">
          <a:avLst/>
        </a:prstGeom>
        <a:solidFill>
          <a:srgbClr val="002060"/>
        </a:solidFill>
        <a:ln>
          <a:solidFill>
            <a:schemeClr val="tx2">
              <a:lumMod val="40000"/>
              <a:lumOff val="60000"/>
            </a:schemeClr>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r>
            <a:rPr lang="en-US" sz="700" b="1" i="0" u="none" strike="noStrike" kern="1200" baseline="0">
              <a:solidFill>
                <a:schemeClr val="accent3">
                  <a:lumMod val="20000"/>
                  <a:lumOff val="80000"/>
                </a:schemeClr>
              </a:solidFill>
              <a:latin typeface="BrowalliaUPC" panose="020B0604020202020204" pitchFamily="34" charset="-34"/>
              <a:ea typeface="+mn-ea"/>
              <a:cs typeface="BrowalliaUPC" panose="020B0604020202020204" pitchFamily="34" charset="-34"/>
            </a:rPr>
            <a:t>ESCALA LOGARÍTMICA</a:t>
          </a:r>
        </a:p>
      </xdr:txBody>
    </xdr:sp>
    <xdr:clientData/>
  </xdr:oneCellAnchor>
</xdr:wsDr>
</file>

<file path=xl/drawings/drawing2.xml><?xml version="1.0" encoding="utf-8"?>
<xdr:wsDr xmlns:xdr="http://schemas.openxmlformats.org/drawingml/2006/spreadsheetDrawing" xmlns:a="http://schemas.openxmlformats.org/drawingml/2006/main">
  <xdr:twoCellAnchor editAs="absolute">
    <xdr:from>
      <xdr:col>10</xdr:col>
      <xdr:colOff>754948</xdr:colOff>
      <xdr:row>4</xdr:row>
      <xdr:rowOff>0</xdr:rowOff>
    </xdr:from>
    <xdr:to>
      <xdr:col>14</xdr:col>
      <xdr:colOff>740708</xdr:colOff>
      <xdr:row>13</xdr:row>
      <xdr:rowOff>122058</xdr:rowOff>
    </xdr:to>
    <xdr:graphicFrame macro="">
      <xdr:nvGraphicFramePr>
        <xdr:cNvPr id="2" name="Gráfico 1">
          <a:extLst>
            <a:ext uri="{FF2B5EF4-FFF2-40B4-BE49-F238E27FC236}">
              <a16:creationId xmlns:a16="http://schemas.microsoft.com/office/drawing/2014/main" id="{3EF9A546-B893-41D6-A4DE-09646028DA83}"/>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13</xdr:col>
      <xdr:colOff>7044</xdr:colOff>
      <xdr:row>37</xdr:row>
      <xdr:rowOff>0</xdr:rowOff>
    </xdr:from>
    <xdr:to>
      <xdr:col>16</xdr:col>
      <xdr:colOff>754804</xdr:colOff>
      <xdr:row>47</xdr:row>
      <xdr:rowOff>51502</xdr:rowOff>
    </xdr:to>
    <xdr:graphicFrame macro="">
      <xdr:nvGraphicFramePr>
        <xdr:cNvPr id="3" name="Gráfico 2">
          <a:extLst>
            <a:ext uri="{FF2B5EF4-FFF2-40B4-BE49-F238E27FC236}">
              <a16:creationId xmlns:a16="http://schemas.microsoft.com/office/drawing/2014/main" id="{A0E3BFFE-DA59-4B91-B9EC-34C568030C5E}"/>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11</xdr:col>
      <xdr:colOff>7036</xdr:colOff>
      <xdr:row>69</xdr:row>
      <xdr:rowOff>14110</xdr:rowOff>
    </xdr:from>
    <xdr:to>
      <xdr:col>14</xdr:col>
      <xdr:colOff>754796</xdr:colOff>
      <xdr:row>79</xdr:row>
      <xdr:rowOff>65612</xdr:rowOff>
    </xdr:to>
    <xdr:graphicFrame macro="">
      <xdr:nvGraphicFramePr>
        <xdr:cNvPr id="4" name="Gráfico 3">
          <a:extLst>
            <a:ext uri="{FF2B5EF4-FFF2-40B4-BE49-F238E27FC236}">
              <a16:creationId xmlns:a16="http://schemas.microsoft.com/office/drawing/2014/main" id="{3A34909C-15E4-4AC1-BC13-3EE6FAF0D07C}"/>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ebextensions/_rels/taskpanes.xml.rels><?xml version="1.0" encoding="UTF-8" standalone="yes"?>
<Relationships xmlns="http://schemas.openxmlformats.org/package/2006/relationships"><Relationship Id="rId1" Type="http://schemas.microsoft.com/office/2011/relationships/webextension" Target="webextension1.xml"/></Relationships>
</file>

<file path=xl/webextensions/taskpanes.xml><?xml version="1.0" encoding="utf-8"?>
<wetp:taskpanes xmlns:wetp="http://schemas.microsoft.com/office/webextensions/taskpanes/2010/11">
  <wetp:taskpane dockstate="right" visibility="0" width="0" row="0">
    <wetp:webextensionref xmlns:r="http://schemas.openxmlformats.org/officeDocument/2006/relationships" r:id="rId1"/>
  </wetp:taskpane>
</wetp:taskpanes>
</file>

<file path=xl/webextensions/webextension1.xml><?xml version="1.0" encoding="utf-8"?>
<we:webextension xmlns:we="http://schemas.microsoft.com/office/webextensions/webextension/2010/11" id="{348B5F36-36CD-4088-9355-AEC460EE97C2}">
  <we:reference id="wa200006518" version="1.1.2.0" store="en-US" storeType="OMEX"/>
  <we:alternateReferences>
    <we:reference id="wa200006518" version="1.1.2.0" store="" storeType="OMEX"/>
  </we:alternateReferences>
  <we:properties/>
  <we:bindings/>
  <we:snapshot xmlns:r="http://schemas.openxmlformats.org/officeDocument/2006/relationships"/>
  <we:extLst>
    <a:ext xmlns:a="http://schemas.openxmlformats.org/drawingml/2006/main" uri="{D87F86FE-615C-45B5-9D79-34F1136793EB}">
      <we:containsCustomFunctions/>
    </a:ext>
    <a:ext xmlns:a="http://schemas.openxmlformats.org/drawingml/2006/main" uri="{7C84B067-C214-45C3-A712-C9D94CD141B2}">
      <we:customFunctionIdList>
        <we:customFunctionIds>_xldudf_PYSCRIPT_CODE</we:customFunctionIds>
        <we:customFunctionIds>_xldudf_ANACONDA_CODE</we:customFunctionIds>
      </we:customFunctionIdList>
    </a:ext>
  </we:extLst>
</we:webextension>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AC94A4-5E81-4BE0-A978-7960C072B275}">
  <sheetPr codeName="Hoja1">
    <tabColor rgb="FFF325C7"/>
  </sheetPr>
  <dimension ref="B1:O25"/>
  <sheetViews>
    <sheetView showGridLines="0" showRowColHeaders="0" zoomScale="105" zoomScaleNormal="105" workbookViewId="0">
      <selection activeCell="G6" sqref="G6"/>
    </sheetView>
  </sheetViews>
  <sheetFormatPr baseColWidth="10" defaultRowHeight="14.5" x14ac:dyDescent="0.35"/>
  <cols>
    <col min="1" max="1" width="3.453125" style="79" customWidth="1"/>
    <col min="2" max="2" width="10.90625" style="79"/>
    <col min="3" max="3" width="10.90625" style="79" customWidth="1"/>
    <col min="4" max="15" width="10.90625" style="79"/>
    <col min="16" max="16" width="10.90625" style="79" customWidth="1"/>
    <col min="17" max="16384" width="10.90625" style="79"/>
  </cols>
  <sheetData>
    <row r="1" spans="2:15" ht="7.5" customHeight="1" x14ac:dyDescent="0.35"/>
    <row r="2" spans="2:15" x14ac:dyDescent="0.35">
      <c r="B2" s="82" t="s">
        <v>32</v>
      </c>
    </row>
    <row r="3" spans="2:15" ht="18.5" customHeight="1" x14ac:dyDescent="0.35">
      <c r="B3" s="83" t="s">
        <v>47</v>
      </c>
      <c r="C3" s="84"/>
      <c r="D3" s="84"/>
      <c r="E3" s="84"/>
      <c r="F3" s="84"/>
      <c r="G3" s="84"/>
      <c r="H3" s="84"/>
      <c r="I3" s="84"/>
      <c r="J3" s="84"/>
      <c r="K3" s="84"/>
      <c r="L3" s="84"/>
      <c r="M3" s="84"/>
      <c r="N3" s="84"/>
      <c r="O3" s="84"/>
    </row>
    <row r="4" spans="2:15" ht="18.5" customHeight="1" x14ac:dyDescent="0.35">
      <c r="B4" s="137" t="s">
        <v>48</v>
      </c>
      <c r="C4" s="137"/>
      <c r="D4" s="137"/>
      <c r="E4" s="137"/>
      <c r="F4" s="137"/>
      <c r="G4" s="137"/>
      <c r="H4" s="137"/>
      <c r="I4" s="137"/>
      <c r="J4" s="137"/>
      <c r="K4" s="137"/>
      <c r="L4" s="137"/>
      <c r="M4" s="137"/>
      <c r="N4" s="137"/>
      <c r="O4" s="137"/>
    </row>
    <row r="5" spans="2:15" ht="15" customHeight="1" x14ac:dyDescent="0.35">
      <c r="B5" s="137"/>
      <c r="C5" s="137"/>
      <c r="D5" s="137"/>
      <c r="E5" s="137"/>
      <c r="F5" s="137"/>
      <c r="G5" s="137"/>
      <c r="H5" s="137"/>
      <c r="I5" s="137"/>
      <c r="J5" s="137"/>
      <c r="K5" s="137"/>
      <c r="L5" s="137"/>
      <c r="M5" s="137"/>
      <c r="N5" s="137"/>
      <c r="O5" s="137"/>
    </row>
    <row r="6" spans="2:15" ht="23" customHeight="1" x14ac:dyDescent="0.35">
      <c r="B6" s="83" t="s">
        <v>33</v>
      </c>
      <c r="C6" s="84"/>
      <c r="D6" s="84"/>
      <c r="E6" s="84"/>
      <c r="F6" s="84"/>
      <c r="G6" s="84"/>
      <c r="H6" s="84"/>
      <c r="I6" s="84"/>
      <c r="J6" s="84"/>
      <c r="K6" s="84"/>
      <c r="L6" s="84"/>
      <c r="M6" s="84"/>
      <c r="N6" s="84"/>
      <c r="O6" s="84"/>
    </row>
    <row r="7" spans="2:15" x14ac:dyDescent="0.35">
      <c r="B7" s="137" t="s">
        <v>36</v>
      </c>
      <c r="C7" s="137"/>
      <c r="D7" s="137"/>
      <c r="E7" s="137"/>
      <c r="F7" s="137"/>
      <c r="G7" s="137"/>
      <c r="H7" s="137"/>
      <c r="I7" s="137"/>
      <c r="J7" s="137"/>
      <c r="K7" s="137"/>
      <c r="L7" s="137"/>
      <c r="M7" s="137"/>
      <c r="N7" s="137"/>
      <c r="O7" s="137"/>
    </row>
    <row r="8" spans="2:15" ht="18" customHeight="1" x14ac:dyDescent="0.35">
      <c r="B8" s="137"/>
      <c r="C8" s="137"/>
      <c r="D8" s="137"/>
      <c r="E8" s="137"/>
      <c r="F8" s="137"/>
      <c r="G8" s="137"/>
      <c r="H8" s="137"/>
      <c r="I8" s="137"/>
      <c r="J8" s="137"/>
      <c r="K8" s="137"/>
      <c r="L8" s="137"/>
      <c r="M8" s="137"/>
      <c r="N8" s="137"/>
      <c r="O8" s="137"/>
    </row>
    <row r="9" spans="2:15" ht="14.5" customHeight="1" x14ac:dyDescent="0.35">
      <c r="B9" s="137" t="s">
        <v>156</v>
      </c>
      <c r="C9" s="137"/>
      <c r="D9" s="137"/>
      <c r="E9" s="137"/>
      <c r="F9" s="137"/>
      <c r="G9" s="137"/>
      <c r="H9" s="137"/>
      <c r="I9" s="137"/>
      <c r="J9" s="137"/>
      <c r="K9" s="137"/>
      <c r="L9" s="137"/>
      <c r="M9" s="137"/>
      <c r="N9" s="137"/>
      <c r="O9" s="137"/>
    </row>
    <row r="10" spans="2:15" ht="26" customHeight="1" x14ac:dyDescent="0.35">
      <c r="B10" s="137"/>
      <c r="C10" s="137"/>
      <c r="D10" s="137"/>
      <c r="E10" s="137"/>
      <c r="F10" s="137"/>
      <c r="G10" s="137"/>
      <c r="H10" s="137"/>
      <c r="I10" s="137"/>
      <c r="J10" s="137"/>
      <c r="K10" s="137"/>
      <c r="L10" s="137"/>
      <c r="M10" s="137"/>
      <c r="N10" s="137"/>
      <c r="O10" s="137"/>
    </row>
    <row r="11" spans="2:15" x14ac:dyDescent="0.35">
      <c r="B11" s="80"/>
      <c r="C11" s="80"/>
      <c r="D11" s="80"/>
      <c r="E11" s="80"/>
      <c r="F11" s="80"/>
      <c r="G11" s="80"/>
      <c r="H11" s="80"/>
      <c r="I11" s="80"/>
      <c r="J11" s="80"/>
      <c r="K11" s="80"/>
      <c r="L11" s="80"/>
      <c r="M11" s="80"/>
      <c r="N11" s="80"/>
      <c r="O11" s="80"/>
    </row>
    <row r="13" spans="2:15" x14ac:dyDescent="0.35">
      <c r="B13" s="81" t="s">
        <v>49</v>
      </c>
    </row>
    <row r="14" spans="2:15" ht="21.5" customHeight="1" x14ac:dyDescent="0.35">
      <c r="B14" s="85" t="s">
        <v>34</v>
      </c>
      <c r="C14" s="86"/>
      <c r="D14" s="86"/>
      <c r="E14" s="86"/>
      <c r="F14" s="86"/>
      <c r="G14" s="86"/>
      <c r="H14" s="86"/>
      <c r="I14" s="86"/>
      <c r="J14" s="86"/>
      <c r="K14" s="86"/>
      <c r="L14" s="86"/>
      <c r="M14" s="86"/>
      <c r="N14" s="86"/>
      <c r="O14" s="86"/>
    </row>
    <row r="15" spans="2:15" ht="19" customHeight="1" x14ac:dyDescent="0.35">
      <c r="B15" s="138" t="s">
        <v>35</v>
      </c>
      <c r="C15" s="138"/>
      <c r="D15" s="138"/>
      <c r="E15" s="138"/>
      <c r="F15" s="138"/>
      <c r="G15" s="138"/>
      <c r="H15" s="138"/>
      <c r="I15" s="138"/>
      <c r="J15" s="138"/>
      <c r="K15" s="138"/>
      <c r="L15" s="138"/>
      <c r="M15" s="138"/>
      <c r="N15" s="138"/>
      <c r="O15" s="138"/>
    </row>
    <row r="16" spans="2:15" x14ac:dyDescent="0.35">
      <c r="B16" s="138"/>
      <c r="C16" s="138"/>
      <c r="D16" s="138"/>
      <c r="E16" s="138"/>
      <c r="F16" s="138"/>
      <c r="G16" s="138"/>
      <c r="H16" s="138"/>
      <c r="I16" s="138"/>
      <c r="J16" s="138"/>
      <c r="K16" s="138"/>
      <c r="L16" s="138"/>
      <c r="M16" s="138"/>
      <c r="N16" s="138"/>
      <c r="O16" s="138"/>
    </row>
    <row r="17" spans="2:15" ht="20.5" customHeight="1" x14ac:dyDescent="0.35">
      <c r="B17" s="85" t="s">
        <v>37</v>
      </c>
      <c r="C17" s="86"/>
      <c r="D17" s="86"/>
      <c r="E17" s="86"/>
      <c r="F17" s="86"/>
      <c r="G17" s="86"/>
      <c r="H17" s="86"/>
      <c r="I17" s="86"/>
      <c r="J17" s="86"/>
      <c r="K17" s="86"/>
      <c r="L17" s="86"/>
      <c r="M17" s="86"/>
      <c r="N17" s="86"/>
      <c r="O17" s="86"/>
    </row>
    <row r="19" spans="2:15" ht="14.5" customHeight="1" x14ac:dyDescent="0.35">
      <c r="B19" s="136" t="s">
        <v>50</v>
      </c>
      <c r="C19" s="136"/>
      <c r="D19" s="136"/>
      <c r="E19" s="136"/>
      <c r="F19" s="136"/>
      <c r="G19" s="136"/>
      <c r="H19" s="136"/>
      <c r="I19" s="136"/>
      <c r="J19" s="136"/>
      <c r="K19" s="136"/>
      <c r="L19" s="136"/>
      <c r="M19" s="136"/>
      <c r="N19" s="136"/>
      <c r="O19" s="136"/>
    </row>
    <row r="20" spans="2:15" x14ac:dyDescent="0.35">
      <c r="B20" s="136"/>
      <c r="C20" s="136"/>
      <c r="D20" s="136"/>
      <c r="E20" s="136"/>
      <c r="F20" s="136"/>
      <c r="G20" s="136"/>
      <c r="H20" s="136"/>
      <c r="I20" s="136"/>
      <c r="J20" s="136"/>
      <c r="K20" s="136"/>
      <c r="L20" s="136"/>
      <c r="M20" s="136"/>
      <c r="N20" s="136"/>
      <c r="O20" s="136"/>
    </row>
    <row r="21" spans="2:15" x14ac:dyDescent="0.35">
      <c r="B21" s="136"/>
      <c r="C21" s="136"/>
      <c r="D21" s="136"/>
      <c r="E21" s="136"/>
      <c r="F21" s="136"/>
      <c r="G21" s="136"/>
      <c r="H21" s="136"/>
      <c r="I21" s="136"/>
      <c r="J21" s="136"/>
      <c r="K21" s="136"/>
      <c r="L21" s="136"/>
      <c r="M21" s="136"/>
      <c r="N21" s="136"/>
      <c r="O21" s="136"/>
    </row>
    <row r="22" spans="2:15" ht="14.5" customHeight="1" x14ac:dyDescent="0.35">
      <c r="B22" s="136" t="s">
        <v>113</v>
      </c>
      <c r="C22" s="136"/>
      <c r="D22" s="136"/>
      <c r="E22" s="136"/>
      <c r="F22" s="136"/>
      <c r="G22" s="136"/>
      <c r="H22" s="136"/>
      <c r="I22" s="136"/>
      <c r="J22" s="136"/>
      <c r="K22" s="136"/>
      <c r="L22" s="136"/>
      <c r="M22" s="136"/>
      <c r="N22" s="136"/>
      <c r="O22" s="136"/>
    </row>
    <row r="23" spans="2:15" ht="9" customHeight="1" x14ac:dyDescent="0.35">
      <c r="B23" s="110"/>
      <c r="C23" s="110"/>
      <c r="D23" s="110"/>
      <c r="E23" s="110"/>
      <c r="F23" s="110"/>
      <c r="G23" s="110"/>
      <c r="H23" s="110"/>
      <c r="I23" s="110"/>
      <c r="J23" s="110"/>
      <c r="K23" s="110"/>
      <c r="L23" s="110"/>
      <c r="M23" s="110"/>
      <c r="N23" s="110"/>
      <c r="O23" s="110"/>
    </row>
    <row r="24" spans="2:15" x14ac:dyDescent="0.35">
      <c r="B24" s="136" t="s">
        <v>153</v>
      </c>
      <c r="C24" s="136"/>
      <c r="D24" s="136"/>
      <c r="E24" s="136"/>
      <c r="F24" s="136"/>
      <c r="G24" s="136"/>
      <c r="H24" s="136"/>
      <c r="I24" s="136"/>
      <c r="J24" s="136"/>
      <c r="K24" s="136"/>
      <c r="L24" s="136"/>
      <c r="M24" s="136"/>
      <c r="N24" s="136"/>
      <c r="O24" s="136"/>
    </row>
    <row r="25" spans="2:15" ht="22.5" customHeight="1" x14ac:dyDescent="0.35">
      <c r="B25" s="136"/>
      <c r="C25" s="136"/>
      <c r="D25" s="136"/>
      <c r="E25" s="136"/>
      <c r="F25" s="136"/>
      <c r="G25" s="136"/>
      <c r="H25" s="136"/>
      <c r="I25" s="136"/>
      <c r="J25" s="136"/>
      <c r="K25" s="136"/>
      <c r="L25" s="136"/>
      <c r="M25" s="136"/>
      <c r="N25" s="136"/>
      <c r="O25" s="136"/>
    </row>
  </sheetData>
  <sheetProtection algorithmName="SHA-512" hashValue="dODhS5pZRkIhwaTP/2gfwc+iRrDfYAuR9n9lXi6xPJgMTP4HZoFmvswRtGjeLshIWvtf+GP4HtR/heTV23JKvQ==" saltValue="1V+v48TCFkuZoZSrdMX+qA==" spinCount="100000" sheet="1" objects="1" scenarios="1"/>
  <mergeCells count="7">
    <mergeCell ref="B24:O25"/>
    <mergeCell ref="B22:O22"/>
    <mergeCell ref="B4:O5"/>
    <mergeCell ref="B7:O8"/>
    <mergeCell ref="B9:O10"/>
    <mergeCell ref="B15:O16"/>
    <mergeCell ref="B19:O21"/>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1571A0-48CC-43D4-8CBA-4F9CCCEE699B}">
  <sheetPr codeName="Hoja2">
    <tabColor rgb="FF002060"/>
  </sheetPr>
  <dimension ref="B1:M22"/>
  <sheetViews>
    <sheetView showGridLines="0" showRowColHeaders="0" workbookViewId="0">
      <selection activeCell="J21" sqref="J21"/>
    </sheetView>
  </sheetViews>
  <sheetFormatPr baseColWidth="10" defaultRowHeight="14.5" x14ac:dyDescent="0.35"/>
  <cols>
    <col min="1" max="1" width="2.453125" style="79" customWidth="1"/>
    <col min="2" max="2" width="23.26953125" style="79" customWidth="1"/>
    <col min="3" max="3" width="19.453125" style="79" customWidth="1"/>
    <col min="4" max="16384" width="10.90625" style="79"/>
  </cols>
  <sheetData>
    <row r="1" spans="2:13" ht="9" customHeight="1" x14ac:dyDescent="0.35"/>
    <row r="2" spans="2:13" x14ac:dyDescent="0.35">
      <c r="B2" s="140" t="s">
        <v>38</v>
      </c>
      <c r="C2" s="140"/>
    </row>
    <row r="3" spans="2:13" ht="22" customHeight="1" x14ac:dyDescent="0.35">
      <c r="B3" s="139" t="s">
        <v>146</v>
      </c>
      <c r="C3" s="139"/>
      <c r="D3" s="139"/>
      <c r="E3" s="139"/>
      <c r="F3" s="139"/>
      <c r="G3" s="139"/>
      <c r="H3" s="139"/>
      <c r="I3" s="139"/>
      <c r="J3" s="139"/>
      <c r="K3" s="139"/>
      <c r="L3" s="139"/>
      <c r="M3" s="139"/>
    </row>
    <row r="4" spans="2:13" ht="22.5" customHeight="1" x14ac:dyDescent="0.35">
      <c r="B4" s="139"/>
      <c r="C4" s="139"/>
      <c r="D4" s="139"/>
      <c r="E4" s="139"/>
      <c r="F4" s="139"/>
      <c r="G4" s="139"/>
      <c r="H4" s="139"/>
      <c r="I4" s="139"/>
      <c r="J4" s="139"/>
      <c r="K4" s="139"/>
      <c r="L4" s="139"/>
      <c r="M4" s="139"/>
    </row>
    <row r="6" spans="2:13" x14ac:dyDescent="0.35">
      <c r="B6" s="87" t="s">
        <v>42</v>
      </c>
      <c r="C6" s="96" t="s">
        <v>121</v>
      </c>
    </row>
    <row r="7" spans="2:13" x14ac:dyDescent="0.35">
      <c r="B7" s="87" t="s">
        <v>39</v>
      </c>
      <c r="C7" s="96" t="s">
        <v>43</v>
      </c>
    </row>
    <row r="8" spans="2:13" x14ac:dyDescent="0.35">
      <c r="B8" s="87" t="s">
        <v>40</v>
      </c>
      <c r="C8" s="96" t="s">
        <v>44</v>
      </c>
    </row>
    <row r="9" spans="2:13" x14ac:dyDescent="0.35">
      <c r="B9" s="87" t="s">
        <v>41</v>
      </c>
      <c r="C9" s="88">
        <v>25000</v>
      </c>
    </row>
    <row r="10" spans="2:13" x14ac:dyDescent="0.35">
      <c r="B10" s="87" t="s">
        <v>154</v>
      </c>
      <c r="C10" s="109" t="s">
        <v>155</v>
      </c>
    </row>
    <row r="11" spans="2:13" x14ac:dyDescent="0.35">
      <c r="B11" s="87" t="s">
        <v>148</v>
      </c>
      <c r="C11" s="109" t="s">
        <v>149</v>
      </c>
    </row>
    <row r="12" spans="2:13" x14ac:dyDescent="0.35">
      <c r="B12" s="87" t="s">
        <v>62</v>
      </c>
      <c r="C12" s="100">
        <v>0</v>
      </c>
    </row>
    <row r="13" spans="2:13" x14ac:dyDescent="0.35">
      <c r="B13" s="87" t="s">
        <v>63</v>
      </c>
      <c r="C13" s="100">
        <v>0.15</v>
      </c>
    </row>
    <row r="14" spans="2:13" x14ac:dyDescent="0.35">
      <c r="B14" s="87" t="s">
        <v>56</v>
      </c>
      <c r="C14" s="100" t="s">
        <v>147</v>
      </c>
    </row>
    <row r="16" spans="2:13" ht="14.5" customHeight="1" x14ac:dyDescent="0.35">
      <c r="B16" s="141" t="s">
        <v>151</v>
      </c>
      <c r="C16" s="141"/>
      <c r="D16" s="141"/>
      <c r="E16" s="141"/>
      <c r="F16" s="141"/>
      <c r="G16" s="141"/>
      <c r="H16" s="141"/>
      <c r="I16" s="141"/>
      <c r="J16" s="141"/>
      <c r="K16" s="141"/>
      <c r="L16" s="141"/>
      <c r="M16" s="141"/>
    </row>
    <row r="17" spans="2:13" ht="16" customHeight="1" x14ac:dyDescent="0.35">
      <c r="B17" s="141"/>
      <c r="C17" s="141"/>
      <c r="D17" s="141"/>
      <c r="E17" s="141"/>
      <c r="F17" s="141"/>
      <c r="G17" s="141"/>
      <c r="H17" s="141"/>
      <c r="I17" s="141"/>
      <c r="J17" s="141"/>
      <c r="K17" s="141"/>
      <c r="L17" s="141"/>
      <c r="M17" s="141"/>
    </row>
    <row r="18" spans="2:13" x14ac:dyDescent="0.35">
      <c r="B18" s="142" t="s">
        <v>61</v>
      </c>
      <c r="C18" s="142"/>
      <c r="D18" s="142"/>
      <c r="E18" s="142"/>
      <c r="F18" s="142"/>
      <c r="G18" s="142"/>
      <c r="H18" s="142"/>
      <c r="I18" s="142"/>
      <c r="J18" s="142"/>
      <c r="K18" s="142"/>
      <c r="L18" s="142"/>
      <c r="M18" s="142"/>
    </row>
    <row r="19" spans="2:13" x14ac:dyDescent="0.35">
      <c r="G19"/>
    </row>
    <row r="20" spans="2:13" x14ac:dyDescent="0.35">
      <c r="B20" s="124">
        <v>0</v>
      </c>
      <c r="C20" s="125">
        <v>44501</v>
      </c>
      <c r="D20" s="125">
        <v>44683</v>
      </c>
      <c r="E20" s="125">
        <v>44866</v>
      </c>
      <c r="F20" s="125">
        <v>45048</v>
      </c>
      <c r="G20" s="125">
        <v>45231</v>
      </c>
      <c r="H20" s="125">
        <v>45414</v>
      </c>
      <c r="I20" s="125">
        <v>45597</v>
      </c>
      <c r="J20" s="125">
        <v>45779</v>
      </c>
      <c r="K20" s="128"/>
      <c r="L20" s="129"/>
    </row>
    <row r="21" spans="2:13" ht="15" x14ac:dyDescent="0.4">
      <c r="B21" s="126" t="s">
        <v>165</v>
      </c>
      <c r="C21" s="127">
        <v>0</v>
      </c>
      <c r="D21" s="127">
        <v>0.10218792991590518</v>
      </c>
      <c r="E21" s="127">
        <v>0.13044295894848623</v>
      </c>
      <c r="F21" s="127">
        <v>0.30968754635838774</v>
      </c>
      <c r="G21" s="127">
        <v>0.27654211571009446</v>
      </c>
      <c r="H21" s="127">
        <v>0.48066120378886246</v>
      </c>
      <c r="I21" s="127">
        <v>0.44127033151376255</v>
      </c>
      <c r="J21" s="127">
        <v>0.55306347562263924</v>
      </c>
      <c r="K21" s="130"/>
      <c r="L21" s="129"/>
    </row>
    <row r="22" spans="2:13" ht="15" x14ac:dyDescent="0.4">
      <c r="B22" s="126" t="s">
        <v>166</v>
      </c>
      <c r="C22" s="127">
        <v>0</v>
      </c>
      <c r="D22" s="127">
        <v>1.0148338908499676E-2</v>
      </c>
      <c r="E22" s="127">
        <v>-5.7201165668863303E-4</v>
      </c>
      <c r="F22" s="127">
        <v>0.11545613482270309</v>
      </c>
      <c r="G22" s="127">
        <v>2.0632277591742951E-2</v>
      </c>
      <c r="H22" s="127">
        <v>0.17776338457729252</v>
      </c>
      <c r="I22" s="127">
        <v>8.4476143122673417E-2</v>
      </c>
      <c r="J22" s="127">
        <v>0.20420556221432268</v>
      </c>
      <c r="K22" s="130"/>
      <c r="L22" s="129"/>
    </row>
  </sheetData>
  <sheetProtection algorithmName="SHA-512" hashValue="pU1M1Flt5kE/etYCOCoupiJykLJ4ai0Dirrruy8Vx40QQZPkquex98NOd14jFzIPCgHSdH1Ma2kWApNPD9gO5A==" saltValue="2TR1rp6w7vvEjLjMiFM4TQ==" spinCount="100000" sheet="1" objects="1" scenarios="1"/>
  <mergeCells count="4">
    <mergeCell ref="B3:M4"/>
    <mergeCell ref="B2:C2"/>
    <mergeCell ref="B16:M17"/>
    <mergeCell ref="B18:M18"/>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A9C47B-882D-4C8F-9B76-2C9F58055F6A}">
  <sheetPr codeName="Hoja3">
    <tabColor rgb="FF784FC9"/>
  </sheetPr>
  <dimension ref="B1:Z105"/>
  <sheetViews>
    <sheetView showGridLines="0" showRowColHeaders="0" zoomScale="90" zoomScaleNormal="90" workbookViewId="0">
      <selection activeCell="M30" sqref="M30"/>
    </sheetView>
  </sheetViews>
  <sheetFormatPr baseColWidth="10" defaultRowHeight="14.5" outlineLevelRow="1" x14ac:dyDescent="0.35"/>
  <cols>
    <col min="1" max="1" width="2.54296875" customWidth="1"/>
    <col min="3" max="3" width="37.54296875" customWidth="1"/>
    <col min="4" max="4" width="12.7265625" bestFit="1" customWidth="1"/>
    <col min="6" max="6" width="11.08984375" bestFit="1" customWidth="1"/>
    <col min="7" max="7" width="13.453125" customWidth="1"/>
    <col min="8" max="8" width="11.08984375" bestFit="1" customWidth="1"/>
    <col min="9" max="9" width="11.54296875" customWidth="1"/>
    <col min="14" max="14" width="9.7265625" customWidth="1"/>
    <col min="19" max="22" width="10.90625" customWidth="1"/>
  </cols>
  <sheetData>
    <row r="1" spans="2:26" ht="10" customHeight="1" x14ac:dyDescent="0.35"/>
    <row r="2" spans="2:26" ht="15" customHeight="1" x14ac:dyDescent="0.4">
      <c r="B2" s="152" t="s">
        <v>0</v>
      </c>
      <c r="C2" s="152"/>
      <c r="D2" s="76">
        <f>'Último rebalanceo'!D2</f>
        <v>45779</v>
      </c>
      <c r="E2" s="14"/>
      <c r="F2" s="151" t="s">
        <v>45</v>
      </c>
      <c r="G2" s="151"/>
      <c r="H2" s="107">
        <f>'Último rebalanceo'!H2</f>
        <v>0</v>
      </c>
      <c r="U2" s="19"/>
    </row>
    <row r="3" spans="2:26" ht="15" x14ac:dyDescent="0.4">
      <c r="B3" s="147" t="s">
        <v>23</v>
      </c>
      <c r="C3" s="147"/>
      <c r="D3" s="64">
        <v>25000</v>
      </c>
      <c r="F3" s="91"/>
      <c r="G3" s="91"/>
      <c r="N3" s="26"/>
      <c r="U3" s="19"/>
    </row>
    <row r="4" spans="2:26" ht="15.5" thickBot="1" x14ac:dyDescent="0.45">
      <c r="B4" s="54"/>
      <c r="C4" s="54"/>
      <c r="N4" s="26"/>
      <c r="S4" s="19"/>
      <c r="T4" s="19"/>
      <c r="U4" s="19"/>
      <c r="V4" s="19"/>
      <c r="W4" s="19" t="s">
        <v>161</v>
      </c>
      <c r="X4" s="19"/>
      <c r="Y4" s="19"/>
      <c r="Z4" s="19"/>
    </row>
    <row r="5" spans="2:26" ht="37" thickTop="1" thickBot="1" x14ac:dyDescent="0.5">
      <c r="B5" s="1"/>
      <c r="C5" s="1" t="s">
        <v>2</v>
      </c>
      <c r="D5" s="1" t="s">
        <v>3</v>
      </c>
      <c r="E5" s="2" t="s">
        <v>8</v>
      </c>
      <c r="F5" s="1" t="s">
        <v>4</v>
      </c>
      <c r="G5" s="2" t="s">
        <v>15</v>
      </c>
      <c r="H5" s="1" t="s">
        <v>9</v>
      </c>
      <c r="I5" s="118" t="s">
        <v>31</v>
      </c>
      <c r="J5" s="118" t="s">
        <v>167</v>
      </c>
      <c r="K5" s="2" t="s">
        <v>6</v>
      </c>
      <c r="L5" s="114" t="s">
        <v>51</v>
      </c>
      <c r="M5" s="27"/>
      <c r="S5" s="119" t="s">
        <v>57</v>
      </c>
      <c r="T5" s="119" t="s">
        <v>58</v>
      </c>
      <c r="U5" s="119" t="s">
        <v>59</v>
      </c>
      <c r="V5" s="119" t="s">
        <v>60</v>
      </c>
      <c r="W5" s="19"/>
      <c r="X5" s="119" t="s">
        <v>58</v>
      </c>
      <c r="Y5" s="119" t="s">
        <v>59</v>
      </c>
      <c r="Z5" s="119" t="s">
        <v>60</v>
      </c>
    </row>
    <row r="6" spans="2:26" ht="16.5" thickTop="1" thickBot="1" x14ac:dyDescent="0.5">
      <c r="B6" s="3" t="str" cm="1">
        <f t="array" ref="B6">IF(ROW(A1) &lt;= COUNTA(_xlfn._xlws.FILTER('Último rebalanceo'!B$7:B$41, ('Último rebalanceo'!$K$7:$K$41&gt;0)*ISNUMBER('Último rebalanceo'!$K$7:$K$41))),
INDEX(_xlfn._xlws.FILTER('Último rebalanceo'!B$7:$B$41, ('Último rebalanceo'!$K$7:$K$41&gt;0)*ISNUMBER('Último rebalanceo'!$K$7:$K$41)), ROW(A1)),
"0")</f>
        <v>ALSEA</v>
      </c>
      <c r="C6" s="3" t="str">
        <f>IFERROR(VLOOKUP($B6,'Último rebalanceo'!$B$7:$H$41,2,0),0)</f>
        <v>Alsea SA</v>
      </c>
      <c r="D6" s="3">
        <f>IFERROR(VLOOKUP($B6,'Último rebalanceo'!$B$7:$L$41,10,0),0)</f>
        <v>66</v>
      </c>
      <c r="E6" s="4">
        <f>IFERROR(VLOOKUP($B6,'Último rebalanceo'!$B$7:$L$41,11,0),0)</f>
        <v>50.244539083551025</v>
      </c>
      <c r="F6" s="5">
        <f t="shared" ref="F6:F26" si="0">D6*E6</f>
        <v>3316.1395795143676</v>
      </c>
      <c r="G6" s="4">
        <f>IFERROR(VLOOKUP($B6,'Último rebalanceo'!$B$7:$H$41,7,0),0)</f>
        <v>43.970001220703125</v>
      </c>
      <c r="H6" s="5">
        <f t="shared" ref="H6:H25" si="1">D6*G6</f>
        <v>2902.0200805664063</v>
      </c>
      <c r="I6" s="5">
        <v>50.4</v>
      </c>
      <c r="J6" s="6">
        <f>(G6+I6/E6)/E6-1</f>
        <v>-0.10491575548640963</v>
      </c>
      <c r="K6" s="6">
        <f t="shared" ref="K6:K15" si="2">H6/$H$28</f>
        <v>6.6767941821146898E-2</v>
      </c>
      <c r="L6" s="115" t="str">
        <f>IFERROR(VLOOKUP(B6,GICS!A:C,3,0),0)</f>
        <v>Consumo discrecional</v>
      </c>
      <c r="M6" s="7"/>
      <c r="N6" s="8"/>
      <c r="O6" s="8"/>
      <c r="S6" s="120" t="s">
        <v>52</v>
      </c>
      <c r="T6" s="121">
        <f t="shared" ref="T6:T17" si="3">SUMIF($L$6:$L$26,S6,$K$6:$K$26)</f>
        <v>0</v>
      </c>
      <c r="U6" s="121">
        <f t="shared" ref="U6:U17" si="4">SUMIF($L$6:$L$26,$S6,$K$39:$K$59)</f>
        <v>0</v>
      </c>
      <c r="V6" s="121">
        <f t="shared" ref="V6:V17" si="5">SUMIF($L$6:$L$26,$S6,$I$71:$I$91)</f>
        <v>0</v>
      </c>
      <c r="W6" s="120" t="str" cm="1">
        <f t="array" ref="W6">IFERROR(INDEX(S$6:S$17, SMALL(IF(T$6:T$17&gt;0, ROW(S$6:S$17)-ROW(S$6)+1), ROW(A1))),$W$4)</f>
        <v>Industrial</v>
      </c>
      <c r="X6" s="121">
        <f t="array" ref="X6">IF($W6="", "", INDEX(T$6:T$17, MATCH($W6, $S$6:$S$17, 0)))</f>
        <v>0.1301726537514655</v>
      </c>
      <c r="Y6" s="121">
        <f t="array" ref="Y6">IF($W6="", "", INDEX(U$6:U$17, MATCH($W6, $S$6:$S$17, 0)))</f>
        <v>0.13036170380549364</v>
      </c>
      <c r="Z6" s="121">
        <f t="array" ref="Z6">IF($W6="", "", INDEX(V$6:V$17, MATCH($W6, $S$6:$S$17, 0)))</f>
        <v>0.13056599578857422</v>
      </c>
    </row>
    <row r="7" spans="2:26" ht="16.5" thickTop="1" thickBot="1" x14ac:dyDescent="0.5">
      <c r="B7" s="3" t="str" cm="1">
        <f t="array" ref="B7">IF(ROW(A2) &lt;= COUNTA(_xlfn._xlws.FILTER('Último rebalanceo'!B$7:B$41, ('Último rebalanceo'!$K$7:$K$41&gt;0)*ISNUMBER('Último rebalanceo'!$K$7:$K$41))),
INDEX(_xlfn._xlws.FILTER('Último rebalanceo'!B$7:$B$41, ('Último rebalanceo'!$K$7:$K$41&gt;0)*ISNUMBER('Último rebalanceo'!$K$7:$K$41)), ROW(A2)),
"0")</f>
        <v>LIVEPOLC-1</v>
      </c>
      <c r="C7" s="3" t="str">
        <f>IFERROR(VLOOKUP($B7,'Último rebalanceo'!$B$7:$H$41,2,0),0)</f>
        <v>El Puerto de Liverpool SAB de CV</v>
      </c>
      <c r="D7" s="3">
        <f>IFERROR(VLOOKUP($B7,'Último rebalanceo'!$B$7:$L$41,10,0),0)</f>
        <v>32</v>
      </c>
      <c r="E7" s="4">
        <f>IFERROR(VLOOKUP($B7,'Último rebalanceo'!$B$7:$L$41,11,0),0)</f>
        <v>134.15110778808591</v>
      </c>
      <c r="F7" s="5">
        <f t="shared" si="0"/>
        <v>4292.8354492187491</v>
      </c>
      <c r="G7" s="4">
        <f>IFERROR(VLOOKUP($B7,'Último rebalanceo'!$B$7:$H$41,7,0),0)</f>
        <v>90.30999755859375</v>
      </c>
      <c r="H7" s="5">
        <f t="shared" si="1"/>
        <v>2889.919921875</v>
      </c>
      <c r="I7" s="5">
        <v>155.05000000000001</v>
      </c>
      <c r="J7" s="6">
        <f t="shared" ref="J7:J10" si="6">(G7+I7/E7)/E7-1</f>
        <v>-0.31818838268695804</v>
      </c>
      <c r="K7" s="6">
        <f t="shared" si="2"/>
        <v>6.6489548609141011E-2</v>
      </c>
      <c r="L7" s="115" t="str">
        <f>IFERROR(VLOOKUP(B7,GICS!A:C,3,0),0)</f>
        <v>Consumo discrecional</v>
      </c>
      <c r="M7" s="7"/>
      <c r="N7" s="8"/>
      <c r="O7" s="8"/>
      <c r="S7" s="120" t="s">
        <v>53</v>
      </c>
      <c r="T7" s="121">
        <f t="shared" si="3"/>
        <v>0.1301726537514655</v>
      </c>
      <c r="U7" s="121">
        <f t="shared" si="4"/>
        <v>0.13036170380549364</v>
      </c>
      <c r="V7" s="121">
        <f t="shared" si="5"/>
        <v>0.13056599578857422</v>
      </c>
      <c r="W7" s="120" t="str" cm="1">
        <f t="array" ref="W7">IFERROR(INDEX(S$6:S$17, SMALL(IF(T$6:T$17&gt;0, ROW(S$6:S$17)-ROW(S$6)+1), ROW(A2))),$W$4)</f>
        <v>Consumo discrecional</v>
      </c>
      <c r="X7" s="121">
        <f t="array" ref="X7">IF($W7="", "", INDEX(T$6:T$17, MATCH($W7, $S$6:$S$17, 0)))</f>
        <v>0.20001944869804306</v>
      </c>
      <c r="Y7" s="121">
        <f t="array" ref="Y7">IF($W7="", "", INDEX(U$6:U$17, MATCH($W7, $S$6:$S$17, 0)))</f>
        <v>0.19983350458024352</v>
      </c>
      <c r="Z7" s="121">
        <f t="array" ref="Z7">IF($W7="", "", INDEX(V$6:V$17, MATCH($W7, $S$6:$S$17, 0)))</f>
        <v>0.20056400022506715</v>
      </c>
    </row>
    <row r="8" spans="2:26" ht="16.5" thickTop="1" thickBot="1" x14ac:dyDescent="0.5">
      <c r="B8" s="3" t="str" cm="1">
        <f t="array" ref="B8">IF(ROW(A3) &lt;= COUNTA(_xlfn._xlws.FILTER('Último rebalanceo'!B$7:B$41, ('Último rebalanceo'!$K$7:$K$41&gt;0)*ISNUMBER('Último rebalanceo'!$K$7:$K$41))),
INDEX(_xlfn._xlws.FILTER('Último rebalanceo'!B$7:$B$41, ('Último rebalanceo'!$K$7:$K$41&gt;0)*ISNUMBER('Último rebalanceo'!$K$7:$K$41)), ROW(A3)),
"0")</f>
        <v>PE&amp;OLES</v>
      </c>
      <c r="C8" s="3" t="str">
        <f>IFERROR(VLOOKUP($B8,'Último rebalanceo'!$B$7:$H$41,2,0),0)</f>
        <v>Industrias Penoles</v>
      </c>
      <c r="D8" s="3">
        <f>IFERROR(VLOOKUP($B8,'Último rebalanceo'!$B$7:$L$41,10,0),0)</f>
        <v>13</v>
      </c>
      <c r="E8" s="4">
        <f>IFERROR(VLOOKUP($B8,'Último rebalanceo'!$B$7:$L$41,11,0),0)</f>
        <v>321.17461647956731</v>
      </c>
      <c r="F8" s="5">
        <f t="shared" si="0"/>
        <v>4175.2700142343747</v>
      </c>
      <c r="G8" s="4">
        <f>IFERROR(VLOOKUP($B8,'Último rebalanceo'!$B$7:$H$41,7,0),0)</f>
        <v>392.989990234375</v>
      </c>
      <c r="H8" s="5">
        <f t="shared" si="1"/>
        <v>5108.869873046875</v>
      </c>
      <c r="I8" s="5">
        <v>0</v>
      </c>
      <c r="J8" s="6">
        <f t="shared" si="6"/>
        <v>0.22360227138117095</v>
      </c>
      <c r="K8" s="6">
        <f t="shared" si="2"/>
        <v>0.11754182155377349</v>
      </c>
      <c r="L8" s="115" t="str">
        <f>IFERROR(VLOOKUP(B8,GICS!A:C,3,0),0)</f>
        <v>Materiales</v>
      </c>
      <c r="M8" s="7"/>
      <c r="N8" s="8"/>
      <c r="O8" s="8"/>
      <c r="S8" s="120" t="s">
        <v>101</v>
      </c>
      <c r="T8" s="121">
        <f t="shared" si="3"/>
        <v>0.20001944869804306</v>
      </c>
      <c r="U8" s="121">
        <f t="shared" si="4"/>
        <v>0.19983350458024352</v>
      </c>
      <c r="V8" s="121">
        <f t="shared" si="5"/>
        <v>0.20056400022506715</v>
      </c>
      <c r="W8" s="120" t="str" cm="1">
        <f t="array" ref="W8">IFERROR(INDEX(S$6:S$17, SMALL(IF(T$6:T$17&gt;0, ROW(S$6:S$17)-ROW(S$6)+1), ROW(A3))),$W$4)</f>
        <v>Materiales</v>
      </c>
      <c r="X8" s="121">
        <f t="array" ref="X8">IF($W8="", "", INDEX(T$6:T$17, MATCH($W8, $S$6:$S$17, 0)))</f>
        <v>0.2342105131158988</v>
      </c>
      <c r="Y8" s="121">
        <f t="array" ref="Y8">IF($W8="", "", INDEX(U$6:U$17, MATCH($W8, $S$6:$S$17, 0)))</f>
        <v>0.23448286640201627</v>
      </c>
      <c r="Z8" s="121">
        <f t="array" ref="Z8">IF($W8="", "", INDEX(V$6:V$17, MATCH($W8, $S$6:$S$17, 0)))</f>
        <v>0.23440899505615234</v>
      </c>
    </row>
    <row r="9" spans="2:26" ht="16.5" thickTop="1" thickBot="1" x14ac:dyDescent="0.5">
      <c r="B9" s="3" t="str" cm="1">
        <f t="array" ref="B9">IF(ROW(A4) &lt;= COUNTA(_xlfn._xlws.FILTER('Último rebalanceo'!B$7:B$41, ('Último rebalanceo'!$K$7:$K$41&gt;0)*ISNUMBER('Último rebalanceo'!$K$7:$K$41))),
INDEX(_xlfn._xlws.FILTER('Último rebalanceo'!B$7:$B$41, ('Último rebalanceo'!$K$7:$K$41&gt;0)*ISNUMBER('Último rebalanceo'!$K$7:$K$41)), ROW(A4)),
"0")</f>
        <v>CUERVO</v>
      </c>
      <c r="C9" s="3" t="str">
        <f>IFERROR(VLOOKUP($B9,'Último rebalanceo'!$B$7:$H$41,2,0),0)</f>
        <v>Becle, S.A. De C.V.</v>
      </c>
      <c r="D9" s="3">
        <f>IFERROR(VLOOKUP($B9,'Último rebalanceo'!$B$7:$L$41,10,0),0)</f>
        <v>128</v>
      </c>
      <c r="E9" s="4">
        <f>IFERROR(VLOOKUP($B9,'Último rebalanceo'!$B$7:$L$41,11,0),0)</f>
        <v>26.379999000000002</v>
      </c>
      <c r="F9" s="5">
        <f t="shared" si="0"/>
        <v>3376.6398720000002</v>
      </c>
      <c r="G9" s="4">
        <f>IFERROR(VLOOKUP($B9,'Último rebalanceo'!$B$7:$H$41,7,0),0)</f>
        <v>22.670000076293945</v>
      </c>
      <c r="H9" s="5">
        <f t="shared" si="1"/>
        <v>2901.760009765625</v>
      </c>
      <c r="I9" s="5">
        <v>0</v>
      </c>
      <c r="J9" s="6">
        <f t="shared" si="6"/>
        <v>-0.14063681062709876</v>
      </c>
      <c r="K9" s="6">
        <f t="shared" si="2"/>
        <v>6.6761958267755175E-2</v>
      </c>
      <c r="L9" s="115" t="str">
        <f>IFERROR(VLOOKUP(B9,GICS!A:C,3,0),0)</f>
        <v>Consumo discrecional</v>
      </c>
      <c r="M9" s="7"/>
      <c r="N9" s="8"/>
      <c r="O9" s="8"/>
      <c r="S9" s="120" t="s">
        <v>55</v>
      </c>
      <c r="T9" s="121">
        <f t="shared" si="3"/>
        <v>0.2342105131158988</v>
      </c>
      <c r="U9" s="121">
        <f t="shared" si="4"/>
        <v>0.23448286640201627</v>
      </c>
      <c r="V9" s="121">
        <f t="shared" si="5"/>
        <v>0.23440899505615234</v>
      </c>
      <c r="W9" s="120" t="str" cm="1">
        <f t="array" ref="W9">IFERROR(INDEX(S$6:S$17, SMALL(IF(T$6:T$17&gt;0, ROW(S$6:S$17)-ROW(S$6)+1), ROW(A4))),$W$4)</f>
        <v>Financiero</v>
      </c>
      <c r="X9" s="121">
        <f t="array" ref="X9">IF($W9="", "", INDEX(T$6:T$17, MATCH($W9, $S$6:$S$17, 0)))</f>
        <v>0.36400883673787265</v>
      </c>
      <c r="Y9" s="121">
        <f t="array" ref="Y9">IF($W9="", "", INDEX(U$6:U$17, MATCH($W9, $S$6:$S$17, 0)))</f>
        <v>0.3650921824423945</v>
      </c>
      <c r="Z9" s="121">
        <f t="array" ref="Z9">IF($W9="", "", INDEX(V$6:V$17, MATCH($W9, $S$6:$S$17, 0)))</f>
        <v>0.36635299110412595</v>
      </c>
    </row>
    <row r="10" spans="2:26" ht="16.5" thickTop="1" thickBot="1" x14ac:dyDescent="0.5">
      <c r="B10" s="3" t="str" cm="1">
        <f t="array" ref="B10">IF(ROW(A5) &lt;= COUNTA(_xlfn._xlws.FILTER('Último rebalanceo'!B$7:B$41, ('Último rebalanceo'!$K$7:$K$41&gt;0)*ISNUMBER('Último rebalanceo'!$K$7:$K$41))),
INDEX(_xlfn._xlws.FILTER('Último rebalanceo'!B$7:$B$41, ('Último rebalanceo'!$K$7:$K$41&gt;0)*ISNUMBER('Último rebalanceo'!$K$7:$K$41)), ROW(A5)),
"0")</f>
        <v>Q</v>
      </c>
      <c r="C10" s="3" t="str">
        <f>IFERROR(VLOOKUP($B10,'Último rebalanceo'!$B$7:$H$41,2,0),0)</f>
        <v>Qualitas Controladora S.A.B de C.V.</v>
      </c>
      <c r="D10" s="3">
        <f>IFERROR(VLOOKUP($B10,'Último rebalanceo'!$B$7:$L$41,10,0),0)</f>
        <v>13</v>
      </c>
      <c r="E10" s="4">
        <f>IFERROR(VLOOKUP($B10,'Último rebalanceo'!$B$7:$L$41,11,0),0)</f>
        <v>139.050003</v>
      </c>
      <c r="F10" s="5">
        <f t="shared" si="0"/>
        <v>1807.6500390000001</v>
      </c>
      <c r="G10" s="4">
        <f>IFERROR(VLOOKUP($B10,'Último rebalanceo'!$B$7:$H$41,7,0),0)</f>
        <v>216.94999694824219</v>
      </c>
      <c r="H10" s="5">
        <f t="shared" si="1"/>
        <v>2820.3499603271484</v>
      </c>
      <c r="I10" s="5">
        <v>205.2</v>
      </c>
      <c r="J10" s="6">
        <f t="shared" si="6"/>
        <v>0.57084300869625437</v>
      </c>
      <c r="K10" s="6">
        <f t="shared" si="2"/>
        <v>6.4888924555492236E-2</v>
      </c>
      <c r="L10" s="115" t="str">
        <f>IFERROR(VLOOKUP(B10,GICS!A:C,3,0),0)</f>
        <v>Financiero</v>
      </c>
      <c r="M10" s="7"/>
      <c r="N10" s="8"/>
      <c r="O10" s="8"/>
      <c r="S10" s="120" t="s">
        <v>102</v>
      </c>
      <c r="T10" s="121">
        <f t="shared" si="3"/>
        <v>0.36400883673787265</v>
      </c>
      <c r="U10" s="121">
        <f t="shared" si="4"/>
        <v>0.3650921824423945</v>
      </c>
      <c r="V10" s="121">
        <f t="shared" si="5"/>
        <v>0.36635299110412595</v>
      </c>
      <c r="W10" s="120" t="str" cm="1">
        <f t="array" ref="W10">IFERROR(INDEX(S$6:S$17, SMALL(IF(T$6:T$17&gt;0, ROW(S$6:S$17)-ROW(S$6)+1), ROW(A5))),$W$4)</f>
        <v>Servicios de comunicación</v>
      </c>
      <c r="X10" s="121">
        <f t="array" ref="X10">IF($W10="", "", INDEX(T$6:T$17, MATCH($W10, $S$6:$S$17, 0)))</f>
        <v>6.6944637883555577E-2</v>
      </c>
      <c r="Y10" s="121">
        <f t="array" ref="Y10">IF($W10="", "", INDEX(U$6:U$17, MATCH($W10, $S$6:$S$17, 0)))</f>
        <v>6.6675512768800155E-2</v>
      </c>
      <c r="Z10" s="121">
        <f t="array" ref="Z10">IF($W10="", "", INDEX(V$6:V$17, MATCH($W10, $S$6:$S$17, 0)))</f>
        <v>6.6780001068115241E-2</v>
      </c>
    </row>
    <row r="11" spans="2:26" ht="16.5" thickTop="1" thickBot="1" x14ac:dyDescent="0.5">
      <c r="B11" s="3" t="str" cm="1">
        <f t="array" ref="B11">IF(ROW(A6) &lt;= COUNTA(_xlfn._xlws.FILTER('Último rebalanceo'!B$7:B$41, ('Último rebalanceo'!$K$7:$K$41&gt;0)*ISNUMBER('Último rebalanceo'!$K$7:$K$41))),
INDEX(_xlfn._xlws.FILTER('Último rebalanceo'!B$7:$B$41, ('Último rebalanceo'!$K$7:$K$41&gt;0)*ISNUMBER('Último rebalanceo'!$K$7:$K$41)), ROW(A6)),
"0")</f>
        <v>BOLSAA</v>
      </c>
      <c r="C11" s="3" t="str">
        <f>IFERROR(VLOOKUP($B11,'Último rebalanceo'!$B$7:$H$41,2,0),0)</f>
        <v>Bolsa Mexicana de Valores SA de CV</v>
      </c>
      <c r="D11" s="3">
        <f>IFERROR(VLOOKUP($B11,'Último rebalanceo'!$B$7:$L$41,10,0),0)</f>
        <v>123</v>
      </c>
      <c r="E11" s="4">
        <f>IFERROR(VLOOKUP($B11,'Último rebalanceo'!$B$7:$L$41,11,0),0)</f>
        <v>41.319999694824219</v>
      </c>
      <c r="F11" s="5">
        <f t="shared" si="0"/>
        <v>5082.3599624633789</v>
      </c>
      <c r="G11" s="4">
        <f>IFERROR(VLOOKUP($B11,'Último rebalanceo'!$B$7:$H$41,7,0),0)</f>
        <v>41.319999694824219</v>
      </c>
      <c r="H11" s="5">
        <f t="shared" si="1"/>
        <v>5082.3599624633789</v>
      </c>
      <c r="I11" s="5">
        <v>0</v>
      </c>
      <c r="J11" s="6">
        <f t="shared" ref="J11:J25" si="7">(G11+I11/E11)/E11-1</f>
        <v>0</v>
      </c>
      <c r="K11" s="6">
        <f t="shared" si="2"/>
        <v>0.1169318973911615</v>
      </c>
      <c r="L11" s="115" t="str">
        <f>IFERROR(VLOOKUP(B11,GICS!A:C,3,0),0)</f>
        <v>Financiero</v>
      </c>
      <c r="M11" s="7"/>
      <c r="N11" s="8"/>
      <c r="O11" s="8"/>
      <c r="S11" s="120" t="s">
        <v>157</v>
      </c>
      <c r="T11" s="121">
        <f t="shared" si="3"/>
        <v>0</v>
      </c>
      <c r="U11" s="121">
        <f t="shared" si="4"/>
        <v>0</v>
      </c>
      <c r="V11" s="121">
        <f t="shared" si="5"/>
        <v>0</v>
      </c>
      <c r="W11" s="120" t="str" cm="1">
        <f t="array" ref="W11">IFERROR(INDEX(S$6:S$17, SMALL(IF(T$6:T$17&gt;0, ROW(S$6:S$17)-ROW(S$6)+1), ROW(A6))),$W$4)</f>
        <v>Efectivo</v>
      </c>
      <c r="X11" s="121">
        <f t="array" ref="X11">IF($W11="", "", INDEX(T$6:T$17, MATCH($W11, $S$6:$S$17, 0)))</f>
        <v>4.6439098131642797E-3</v>
      </c>
      <c r="Y11" s="121">
        <f t="array" ref="Y11">IF($W11="", "", INDEX(U$6:U$17, MATCH($W11, $S$6:$S$17, 0)))</f>
        <v>3.5542300010519227E-3</v>
      </c>
      <c r="Z11" s="121">
        <f t="array" ref="Z11">IF($W11="", "", INDEX(V$6:V$17, MATCH($W11, $S$6:$S$17, 0)))</f>
        <v>1.3280167579650878E-3</v>
      </c>
    </row>
    <row r="12" spans="2:26" ht="16.5" thickTop="1" thickBot="1" x14ac:dyDescent="0.5">
      <c r="B12" s="3" t="str" cm="1">
        <f t="array" ref="B12">IF(ROW(A7) &lt;= COUNTA(_xlfn._xlws.FILTER('Último rebalanceo'!B$7:B$41, ('Último rebalanceo'!$K$7:$K$41&gt;0)*ISNUMBER('Último rebalanceo'!$K$7:$K$41))),
INDEX(_xlfn._xlws.FILTER('Último rebalanceo'!B$7:$B$41, ('Último rebalanceo'!$K$7:$K$41&gt;0)*ISNUMBER('Último rebalanceo'!$K$7:$K$41)), ROW(A7)),
"0")</f>
        <v>GENTERA</v>
      </c>
      <c r="C12" s="3" t="str">
        <f>IFERROR(VLOOKUP($B12,'Último rebalanceo'!$B$7:$H$41,2,0),0)</f>
        <v>Gentera SAB de CV</v>
      </c>
      <c r="D12" s="3">
        <f>IFERROR(VLOOKUP($B12,'Último rebalanceo'!$B$7:$L$41,10,0),0)</f>
        <v>148</v>
      </c>
      <c r="E12" s="4">
        <f>IFERROR(VLOOKUP($B12,'Último rebalanceo'!$B$7:$L$41,11,0),0)</f>
        <v>34.189998626708984</v>
      </c>
      <c r="F12" s="5">
        <f t="shared" si="0"/>
        <v>5060.1197967529297</v>
      </c>
      <c r="G12" s="4">
        <f>IFERROR(VLOOKUP($B12,'Último rebalanceo'!$B$7:$H$41,7,0),0)</f>
        <v>34.189998626708984</v>
      </c>
      <c r="H12" s="5">
        <f t="shared" si="1"/>
        <v>5060.1197967529297</v>
      </c>
      <c r="I12" s="5">
        <v>221.18673999999999</v>
      </c>
      <c r="J12" s="6">
        <f t="shared" si="7"/>
        <v>0.18921733482427139</v>
      </c>
      <c r="K12" s="6">
        <f t="shared" si="2"/>
        <v>0.11642020896412686</v>
      </c>
      <c r="L12" s="115" t="str">
        <f>IFERROR(VLOOKUP(B12,GICS!A:C,3,0),0)</f>
        <v>Financiero</v>
      </c>
      <c r="M12" s="7"/>
      <c r="N12" s="8"/>
      <c r="O12" s="8"/>
      <c r="S12" s="120" t="s">
        <v>158</v>
      </c>
      <c r="T12" s="121">
        <f t="shared" si="3"/>
        <v>0</v>
      </c>
      <c r="U12" s="121">
        <f t="shared" si="4"/>
        <v>0</v>
      </c>
      <c r="V12" s="121">
        <f t="shared" si="5"/>
        <v>0</v>
      </c>
      <c r="W12" s="120" t="str" cm="1">
        <f t="array" ref="W12">IFERROR(INDEX(S$6:S$17, SMALL(IF(T$6:T$17&gt;0, ROW(S$6:S$17)-ROW(S$6)+1), ROW(A7))),$W$4)</f>
        <v>#NA</v>
      </c>
      <c r="X12" s="121" t="e">
        <f t="array" ref="X12">IF($W12="", "", INDEX(T$6:T$17, MATCH($W12, $S$6:$S$17, 0)))</f>
        <v>#N/A</v>
      </c>
      <c r="Y12" s="121" t="e">
        <f t="array" ref="Y12">IF($W12="", "", INDEX(U$6:U$17, MATCH($W12, $S$6:$S$17, 0)))</f>
        <v>#N/A</v>
      </c>
      <c r="Z12" s="121" t="e">
        <f t="array" ref="Z12">IF($W12="", "", INDEX(V$6:V$17, MATCH($W12, $S$6:$S$17, 0)))</f>
        <v>#N/A</v>
      </c>
    </row>
    <row r="13" spans="2:26" ht="16.5" thickTop="1" thickBot="1" x14ac:dyDescent="0.5">
      <c r="B13" s="3" t="str" cm="1">
        <f t="array" ref="B13">IF(ROW(A8) &lt;= COUNTA(_xlfn._xlws.FILTER('Último rebalanceo'!B$7:B$41, ('Último rebalanceo'!$K$7:$K$41&gt;0)*ISNUMBER('Último rebalanceo'!$K$7:$K$41))),
INDEX(_xlfn._xlws.FILTER('Último rebalanceo'!B$7:$B$41, ('Último rebalanceo'!$K$7:$K$41&gt;0)*ISNUMBER('Último rebalanceo'!$K$7:$K$41)), ROW(A8)),
"0")</f>
        <v>GFNORTEO</v>
      </c>
      <c r="C13" s="3" t="str">
        <f>IFERROR(VLOOKUP($B13,'Último rebalanceo'!$B$7:$H$41,2,0),0)</f>
        <v>Grupo Financiero Banorte O</v>
      </c>
      <c r="D13" s="3">
        <f>IFERROR(VLOOKUP($B13,'Último rebalanceo'!$B$7:$L$41,10,0),0)</f>
        <v>17</v>
      </c>
      <c r="E13" s="4">
        <f>IFERROR(VLOOKUP($B13,'Último rebalanceo'!$B$7:$L$41,11,0),0)</f>
        <v>168.14999389648438</v>
      </c>
      <c r="F13" s="5">
        <f t="shared" si="0"/>
        <v>2858.5498962402344</v>
      </c>
      <c r="G13" s="4">
        <f>IFERROR(VLOOKUP($B13,'Último rebalanceo'!$B$7:$H$41,7,0),0)</f>
        <v>168.14999389648438</v>
      </c>
      <c r="H13" s="5">
        <f t="shared" si="1"/>
        <v>2858.5498962402344</v>
      </c>
      <c r="I13" s="5">
        <v>87.181905</v>
      </c>
      <c r="J13" s="6">
        <f t="shared" si="7"/>
        <v>3.0834196995206398E-3</v>
      </c>
      <c r="K13" s="6">
        <f t="shared" si="2"/>
        <v>6.576780582709206E-2</v>
      </c>
      <c r="L13" s="115" t="str">
        <f>IFERROR(VLOOKUP(B13,GICS!A:C,3,0),0)</f>
        <v>Financiero</v>
      </c>
      <c r="M13" s="7"/>
      <c r="N13" s="8"/>
      <c r="O13" s="8"/>
      <c r="S13" s="120" t="s">
        <v>144</v>
      </c>
      <c r="T13" s="121">
        <f t="shared" si="3"/>
        <v>0</v>
      </c>
      <c r="U13" s="121">
        <f t="shared" si="4"/>
        <v>0</v>
      </c>
      <c r="V13" s="121">
        <f t="shared" si="5"/>
        <v>0</v>
      </c>
      <c r="W13" s="120" t="str" cm="1">
        <f t="array" ref="W13">IFERROR(INDEX(S$6:S$17, SMALL(IF(T$6:T$17&gt;0, ROW(S$6:S$17)-ROW(S$6)+1), ROW(A8))),$W$4)</f>
        <v>#NA</v>
      </c>
      <c r="X13" s="121" t="e">
        <f t="array" ref="X13">IF($W13="", "", INDEX(T$6:T$17, MATCH($W13, $S$6:$S$17, 0)))</f>
        <v>#N/A</v>
      </c>
      <c r="Y13" s="121" t="e">
        <f t="array" ref="Y13">IF($W13="", "", INDEX(U$6:U$17, MATCH($W13, $S$6:$S$17, 0)))</f>
        <v>#N/A</v>
      </c>
      <c r="Z13" s="121" t="e">
        <f t="array" ref="Z13">IF($W13="", "", INDEX(V$6:V$17, MATCH($W13, $S$6:$S$17, 0)))</f>
        <v>#N/A</v>
      </c>
    </row>
    <row r="14" spans="2:26" ht="16.5" thickTop="1" thickBot="1" x14ac:dyDescent="0.5">
      <c r="B14" s="3" t="str" cm="1">
        <f t="array" ref="B14">IF(ROW(A9) &lt;= COUNTA(_xlfn._xlws.FILTER('Último rebalanceo'!B$7:B$41, ('Último rebalanceo'!$K$7:$K$41&gt;0)*ISNUMBER('Último rebalanceo'!$K$7:$K$41))),
INDEX(_xlfn._xlws.FILTER('Último rebalanceo'!B$7:$B$41, ('Último rebalanceo'!$K$7:$K$41&gt;0)*ISNUMBER('Último rebalanceo'!$K$7:$K$41)), ROW(A9)),
"0")</f>
        <v>MEGACPO</v>
      </c>
      <c r="C14" s="3" t="str">
        <f>IFERROR(VLOOKUP($B14,'Último rebalanceo'!$B$7:$H$41,2,0),0)</f>
        <v>Megacable Holdings SAB de CV</v>
      </c>
      <c r="D14" s="3">
        <f>IFERROR(VLOOKUP($B14,'Último rebalanceo'!$B$7:$L$41,10,0),0)</f>
        <v>61</v>
      </c>
      <c r="E14" s="4">
        <f>IFERROR(VLOOKUP($B14,'Último rebalanceo'!$B$7:$L$41,11,0),0)</f>
        <v>47.700000762939453</v>
      </c>
      <c r="F14" s="5">
        <f t="shared" si="0"/>
        <v>2909.7000465393066</v>
      </c>
      <c r="G14" s="4">
        <f>IFERROR(VLOOKUP($B14,'Último rebalanceo'!$B$7:$H$41,7,0),0)</f>
        <v>47.700000762939453</v>
      </c>
      <c r="H14" s="5">
        <f t="shared" si="1"/>
        <v>2909.7000465393066</v>
      </c>
      <c r="I14" s="5">
        <v>496</v>
      </c>
      <c r="J14" s="6">
        <f t="shared" si="7"/>
        <v>0.21799418277820348</v>
      </c>
      <c r="K14" s="6">
        <f t="shared" si="2"/>
        <v>6.6944637883555577E-2</v>
      </c>
      <c r="L14" s="115" t="str">
        <f>IFERROR(VLOOKUP(B14,GICS!A:C,3,0),0)</f>
        <v>Servicios de comunicación</v>
      </c>
      <c r="M14" s="7"/>
      <c r="N14" s="8"/>
      <c r="O14" s="8"/>
      <c r="S14" s="120" t="s">
        <v>159</v>
      </c>
      <c r="T14" s="121">
        <f t="shared" si="3"/>
        <v>0</v>
      </c>
      <c r="U14" s="121">
        <f t="shared" si="4"/>
        <v>0</v>
      </c>
      <c r="V14" s="121">
        <f t="shared" si="5"/>
        <v>0</v>
      </c>
      <c r="W14" s="120" t="str" cm="1">
        <f t="array" ref="W14">IFERROR(INDEX(S$6:S$17, SMALL(IF(T$6:T$17&gt;0, ROW(S$6:S$17)-ROW(S$6)+1), ROW(A9))),$W$4)</f>
        <v>#NA</v>
      </c>
      <c r="X14" s="121" t="e">
        <f t="array" ref="X14">IF($W14="", "", INDEX(T$6:T$17, MATCH($W14, $S$6:$S$17, 0)))</f>
        <v>#N/A</v>
      </c>
      <c r="Y14" s="121" t="e">
        <f t="array" ref="Y14">IF($W14="", "", INDEX(U$6:U$17, MATCH($W14, $S$6:$S$17, 0)))</f>
        <v>#N/A</v>
      </c>
      <c r="Z14" s="121" t="e">
        <f t="array" ref="Z14">IF($W14="", "", INDEX(V$6:V$17, MATCH($W14, $S$6:$S$17, 0)))</f>
        <v>#N/A</v>
      </c>
    </row>
    <row r="15" spans="2:26" ht="16.5" thickTop="1" thickBot="1" x14ac:dyDescent="0.5">
      <c r="B15" s="3" t="str" cm="1">
        <f t="array" ref="B15">IF(ROW(A10) &lt;= COUNTA(_xlfn._xlws.FILTER('Último rebalanceo'!B$7:B$41, ('Último rebalanceo'!$K$7:$K$41&gt;0)*ISNUMBER('Último rebalanceo'!$K$7:$K$41))),
INDEX(_xlfn._xlws.FILTER('Último rebalanceo'!B$7:$B$41, ('Último rebalanceo'!$K$7:$K$41&gt;0)*ISNUMBER('Último rebalanceo'!$K$7:$K$41)), ROW(A10)),
"0")</f>
        <v>OMAB</v>
      </c>
      <c r="C15" s="3" t="str">
        <f>IFERROR(VLOOKUP($B15,'Último rebalanceo'!$B$7:$H$41,2,0),0)</f>
        <v>Grupo Aeroportuario del Centro Norte, S.A.B. de C.V.</v>
      </c>
      <c r="D15" s="3">
        <f>IFERROR(VLOOKUP($B15,'Último rebalanceo'!$B$7:$L$41,10,0),0)</f>
        <v>13</v>
      </c>
      <c r="E15" s="4">
        <f>IFERROR(VLOOKUP($B15,'Último rebalanceo'!$B$7:$L$41,11,0),0)</f>
        <v>215.78999328613281</v>
      </c>
      <c r="F15" s="5">
        <f t="shared" si="0"/>
        <v>2805.2699127197266</v>
      </c>
      <c r="G15" s="4">
        <f>IFERROR(VLOOKUP($B15,'Último rebalanceo'!$B$7:$H$41,7,0),0)</f>
        <v>215.78999328613281</v>
      </c>
      <c r="H15" s="5">
        <f t="shared" si="1"/>
        <v>2805.2699127197266</v>
      </c>
      <c r="I15" s="5">
        <v>433.978433</v>
      </c>
      <c r="J15" s="6">
        <f t="shared" si="7"/>
        <v>9.3197775038080799E-3</v>
      </c>
      <c r="K15" s="6">
        <f t="shared" si="2"/>
        <v>6.4541971842085794E-2</v>
      </c>
      <c r="L15" s="115" t="str">
        <f>IFERROR(VLOOKUP(B15,GICS!A:C,3,0),0)</f>
        <v>Industrial</v>
      </c>
      <c r="M15" s="7"/>
      <c r="N15" s="8"/>
      <c r="O15" s="8"/>
      <c r="S15" s="120" t="s">
        <v>160</v>
      </c>
      <c r="T15" s="121">
        <f t="shared" si="3"/>
        <v>0</v>
      </c>
      <c r="U15" s="121">
        <f t="shared" si="4"/>
        <v>0</v>
      </c>
      <c r="V15" s="121">
        <f t="shared" si="5"/>
        <v>0</v>
      </c>
      <c r="W15" s="120" t="str" cm="1">
        <f t="array" ref="W15">IFERROR(INDEX(S$6:S$17, SMALL(IF(T$6:T$17&gt;0, ROW(S$6:S$17)-ROW(S$6)+1), ROW(A10))),$W$4)</f>
        <v>#NA</v>
      </c>
      <c r="X15" s="121" t="e">
        <f t="array" ref="X15">IF($W15="", "", INDEX(T$6:T$17, MATCH($W15, $S$6:$S$17, 0)))</f>
        <v>#N/A</v>
      </c>
      <c r="Y15" s="121" t="e">
        <f t="array" ref="Y15">IF($W15="", "", INDEX(U$6:U$17, MATCH($W15, $S$6:$S$17, 0)))</f>
        <v>#N/A</v>
      </c>
      <c r="Z15" s="121" t="e">
        <f t="array" ref="Z15">IF($W15="", "", INDEX(V$6:V$17, MATCH($W15, $S$6:$S$17, 0)))</f>
        <v>#N/A</v>
      </c>
    </row>
    <row r="16" spans="2:26" ht="16.5" thickTop="1" thickBot="1" x14ac:dyDescent="0.5">
      <c r="B16" s="3" t="str" cm="1">
        <f t="array" ref="B16">IF(ROW(A11) &lt;= COUNTA(_xlfn._xlws.FILTER('Último rebalanceo'!B$7:B$41, ('Último rebalanceo'!$K$7:$K$41&gt;0)*ISNUMBER('Último rebalanceo'!$K$7:$K$41))),
INDEX(_xlfn._xlws.FILTER('Último rebalanceo'!B$7:$B$41, ('Último rebalanceo'!$K$7:$K$41&gt;0)*ISNUMBER('Último rebalanceo'!$K$7:$K$41)), ROW(A11)),
"0")</f>
        <v>ORBIA</v>
      </c>
      <c r="C16" s="3" t="str">
        <f>IFERROR(VLOOKUP($B16,'Último rebalanceo'!$B$7:$H$41,2,0),0)</f>
        <v>ORBIA ADVANCE CORPORATION SAB de CV</v>
      </c>
      <c r="D16" s="3">
        <f>IFERROR(VLOOKUP($B16,'Último rebalanceo'!$B$7:$L$41,10,0),0)</f>
        <v>383</v>
      </c>
      <c r="E16" s="4">
        <f>IFERROR(VLOOKUP($B16,'Último rebalanceo'!$B$7:$L$41,11,0),0)</f>
        <v>13.239999771118164</v>
      </c>
      <c r="F16" s="5">
        <f t="shared" si="0"/>
        <v>5070.9199123382568</v>
      </c>
      <c r="G16" s="4">
        <f>IFERROR(VLOOKUP($B16,'Último rebalanceo'!$B$7:$H$41,7,0),0)</f>
        <v>13.239999771118164</v>
      </c>
      <c r="H16" s="5">
        <f t="shared" si="1"/>
        <v>5070.9199123382568</v>
      </c>
      <c r="I16" s="5">
        <v>53.281184000000003</v>
      </c>
      <c r="J16" s="6">
        <f t="shared" si="7"/>
        <v>0.30394703545376234</v>
      </c>
      <c r="K16" s="6">
        <f t="shared" ref="K16:K26" si="8">H16/$H$28</f>
        <v>0.11666869156212531</v>
      </c>
      <c r="L16" s="115" t="str">
        <f>IFERROR(VLOOKUP(B16,GICS!A:C,3,0),0)</f>
        <v>Materiales</v>
      </c>
      <c r="M16" s="7"/>
      <c r="N16" s="8"/>
      <c r="O16" s="8"/>
      <c r="S16" s="120" t="s">
        <v>54</v>
      </c>
      <c r="T16" s="121">
        <f t="shared" si="3"/>
        <v>6.6944637883555577E-2</v>
      </c>
      <c r="U16" s="121">
        <f t="shared" si="4"/>
        <v>6.6675512768800155E-2</v>
      </c>
      <c r="V16" s="121">
        <f t="shared" si="5"/>
        <v>6.6780001068115241E-2</v>
      </c>
      <c r="W16" s="120" t="str" cm="1">
        <f t="array" ref="W16">IFERROR(INDEX(S$6:S$17, SMALL(IF(T$6:T$17&gt;0, ROW(S$6:S$17)-ROW(S$6)+1), ROW(A11))),$W$4)</f>
        <v>#NA</v>
      </c>
      <c r="X16" s="121" t="e">
        <f t="array" ref="X16">IF($W16="", "", INDEX(T$6:T$17, MATCH($W16, $S$6:$S$17, 0)))</f>
        <v>#N/A</v>
      </c>
      <c r="Y16" s="121" t="e">
        <f t="array" ref="Y16">IF($W16="", "", INDEX(U$6:U$17, MATCH($W16, $S$6:$S$17, 0)))</f>
        <v>#N/A</v>
      </c>
      <c r="Z16" s="121" t="e">
        <f t="array" ref="Z16">IF($W16="", "", INDEX(V$6:V$17, MATCH($W16, $S$6:$S$17, 0)))</f>
        <v>#N/A</v>
      </c>
    </row>
    <row r="17" spans="2:26" ht="16.5" thickTop="1" thickBot="1" x14ac:dyDescent="0.5">
      <c r="B17" s="3" t="str" cm="1">
        <f t="array" ref="B17">IF(ROW(A12) &lt;= COUNTA(_xlfn._xlws.FILTER('Último rebalanceo'!B$7:B$41, ('Último rebalanceo'!$K$7:$K$41&gt;0)*ISNUMBER('Último rebalanceo'!$K$7:$K$41))),
INDEX(_xlfn._xlws.FILTER('Último rebalanceo'!B$7:$B$41, ('Último rebalanceo'!$K$7:$K$41&gt;0)*ISNUMBER('Último rebalanceo'!$K$7:$K$41)), ROW(A12)),
"0")</f>
        <v>PINFRA</v>
      </c>
      <c r="C17" s="3" t="str">
        <f>IFERROR(VLOOKUP($B17,'Último rebalanceo'!$B$7:$H$41,2,0),0)</f>
        <v>Promotora y Operadora de Infraestructura SAB de CV</v>
      </c>
      <c r="D17" s="3">
        <f>IFERROR(VLOOKUP($B17,'Último rebalanceo'!$B$7:$L$41,10,0),0)</f>
        <v>13</v>
      </c>
      <c r="E17" s="4">
        <f>IFERROR(VLOOKUP($B17,'Último rebalanceo'!$B$7:$L$41,11,0),0)</f>
        <v>219.42999267578125</v>
      </c>
      <c r="F17" s="5">
        <f t="shared" si="0"/>
        <v>2852.5899047851563</v>
      </c>
      <c r="G17" s="4">
        <f>IFERROR(VLOOKUP($B17,'Último rebalanceo'!$B$7:$H$41,7,0),0)</f>
        <v>219.42999267578125</v>
      </c>
      <c r="H17" s="5">
        <f t="shared" si="1"/>
        <v>2852.5899047851563</v>
      </c>
      <c r="I17" s="5">
        <v>47.796912000000006</v>
      </c>
      <c r="J17" s="6">
        <f t="shared" si="7"/>
        <v>9.9267677697834067E-4</v>
      </c>
      <c r="K17" s="6">
        <f t="shared" si="8"/>
        <v>6.5630681909379707E-2</v>
      </c>
      <c r="L17" s="115" t="str">
        <f>IFERROR(VLOOKUP(B17,GICS!A:C,3,0),0)</f>
        <v>Industrial</v>
      </c>
      <c r="M17" s="7"/>
      <c r="N17" s="8"/>
      <c r="O17" s="8"/>
      <c r="S17" s="120" t="s">
        <v>56</v>
      </c>
      <c r="T17" s="121">
        <f t="shared" si="3"/>
        <v>4.6439098131642797E-3</v>
      </c>
      <c r="U17" s="121">
        <f t="shared" si="4"/>
        <v>3.5542300010519227E-3</v>
      </c>
      <c r="V17" s="121">
        <f t="shared" si="5"/>
        <v>1.3280167579650878E-3</v>
      </c>
      <c r="W17" s="120" t="str" cm="1">
        <f t="array" ref="W17">IFERROR(INDEX(S$6:S$17, SMALL(IF(T$6:T$17&gt;0, ROW(S$6:S$17)-ROW(S$6)+1), ROW(A12))),$W$4)</f>
        <v>#NA</v>
      </c>
      <c r="X17" s="121" t="e">
        <f t="array" ref="X17">IF($W17="", "", INDEX(T$6:T$17, MATCH($W17, $S$6:$S$17, 0)))</f>
        <v>#N/A</v>
      </c>
      <c r="Y17" s="121" t="e">
        <f t="array" ref="Y17">IF($W17="", "", INDEX(U$6:U$17, MATCH($W17, $S$6:$S$17, 0)))</f>
        <v>#N/A</v>
      </c>
      <c r="Z17" s="121" t="e">
        <f t="array" ref="Z17">IF($W17="", "", INDEX(V$6:V$17, MATCH($W17, $S$6:$S$17, 0)))</f>
        <v>#N/A</v>
      </c>
    </row>
    <row r="18" spans="2:26" ht="16.5" thickTop="1" thickBot="1" x14ac:dyDescent="0.5">
      <c r="B18" s="3" t="str" cm="1">
        <f t="array" ref="B18">IF(ROW(A13) &lt;= COUNTA(_xlfn._xlws.FILTER('Último rebalanceo'!B$7:B$41, ('Último rebalanceo'!$K$7:$K$41&gt;0)*ISNUMBER('Último rebalanceo'!$K$7:$K$41))),
INDEX(_xlfn._xlws.FILTER('Último rebalanceo'!B$7:$B$41, ('Último rebalanceo'!$K$7:$K$41&gt;0)*ISNUMBER('Último rebalanceo'!$K$7:$K$41)), ROW(A13)),
"0")</f>
        <v>0</v>
      </c>
      <c r="C18" s="3">
        <f>IFERROR(VLOOKUP($B18,'Último rebalanceo'!$B$7:$H$41,2,0),0)</f>
        <v>0</v>
      </c>
      <c r="D18" s="3">
        <f>IFERROR(VLOOKUP($B18,'Último rebalanceo'!$B$7:$L$41,10,0),0)</f>
        <v>0</v>
      </c>
      <c r="E18" s="4">
        <f>IFERROR(VLOOKUP($B18,'Último rebalanceo'!$B$7:$L$41,11,0),0)</f>
        <v>0</v>
      </c>
      <c r="F18" s="5">
        <f t="shared" si="0"/>
        <v>0</v>
      </c>
      <c r="G18" s="4">
        <f>IFERROR(VLOOKUP($B18,'Último rebalanceo'!$B$7:$H$41,7,0),0)</f>
        <v>0</v>
      </c>
      <c r="H18" s="5">
        <f>D18*G18</f>
        <v>0</v>
      </c>
      <c r="I18" s="5">
        <v>0</v>
      </c>
      <c r="J18" s="6" t="e">
        <f t="shared" si="7"/>
        <v>#DIV/0!</v>
      </c>
      <c r="K18" s="6">
        <f t="shared" si="8"/>
        <v>0</v>
      </c>
      <c r="L18" s="115">
        <f>IFERROR(VLOOKUP(B18,GICS!A:C,3,0),0)</f>
        <v>0</v>
      </c>
      <c r="M18" s="7"/>
      <c r="N18" s="8"/>
      <c r="O18" s="8"/>
      <c r="S18" s="113"/>
      <c r="T18" s="112"/>
      <c r="U18" s="112"/>
      <c r="V18" s="112"/>
      <c r="W18" s="111"/>
      <c r="X18" s="111"/>
    </row>
    <row r="19" spans="2:26" ht="15.5" thickTop="1" thickBot="1" x14ac:dyDescent="0.4">
      <c r="B19" s="3" t="str" cm="1">
        <f t="array" ref="B19">IF(ROW(A14) &lt;= COUNTA(_xlfn._xlws.FILTER('Último rebalanceo'!B$7:B$41, ('Último rebalanceo'!$K$7:$K$41&gt;0)*ISNUMBER('Último rebalanceo'!$K$7:$K$41))),
INDEX(_xlfn._xlws.FILTER('Último rebalanceo'!B$7:$B$41, ('Último rebalanceo'!$K$7:$K$41&gt;0)*ISNUMBER('Último rebalanceo'!$K$7:$K$41)), ROW(A14)),
"0")</f>
        <v>0</v>
      </c>
      <c r="C19" s="3">
        <f>IFERROR(VLOOKUP($B19,'Último rebalanceo'!$B$7:$H$41,2,0),0)</f>
        <v>0</v>
      </c>
      <c r="D19" s="3">
        <f>IFERROR(VLOOKUP($B19,'Último rebalanceo'!$B$7:$L$41,10,0),0)</f>
        <v>0</v>
      </c>
      <c r="E19" s="4">
        <f>IFERROR(VLOOKUP($B19,'Último rebalanceo'!$B$7:$L$41,11,0),0)</f>
        <v>0</v>
      </c>
      <c r="F19" s="5">
        <f t="shared" si="0"/>
        <v>0</v>
      </c>
      <c r="G19" s="4">
        <f>IFERROR(VLOOKUP($B19,'Último rebalanceo'!$B$7:$H$41,7,0),0)</f>
        <v>0</v>
      </c>
      <c r="H19" s="5">
        <f t="shared" si="1"/>
        <v>0</v>
      </c>
      <c r="I19" s="5">
        <v>0</v>
      </c>
      <c r="J19" s="6" t="e">
        <f t="shared" si="7"/>
        <v>#DIV/0!</v>
      </c>
      <c r="K19" s="6">
        <f t="shared" si="8"/>
        <v>0</v>
      </c>
      <c r="L19" s="115">
        <f>IFERROR(VLOOKUP(B19,GICS!A:C,3,0),0)</f>
        <v>0</v>
      </c>
      <c r="M19" s="7"/>
      <c r="N19" s="8"/>
      <c r="O19" s="8"/>
      <c r="W19" s="111"/>
      <c r="X19" s="111"/>
    </row>
    <row r="20" spans="2:26" ht="15.5" thickTop="1" thickBot="1" x14ac:dyDescent="0.4">
      <c r="B20" s="3" t="str" cm="1">
        <f t="array" ref="B20">IF(ROW(A15) &lt;= COUNTA(_xlfn._xlws.FILTER('Último rebalanceo'!B$7:B$41, ('Último rebalanceo'!$K$7:$K$41&gt;0)*ISNUMBER('Último rebalanceo'!$K$7:$K$41))),
INDEX(_xlfn._xlws.FILTER('Último rebalanceo'!B$7:$B$41, ('Último rebalanceo'!$K$7:$K$41&gt;0)*ISNUMBER('Último rebalanceo'!$K$7:$K$41)), ROW(A15)),
"0")</f>
        <v>0</v>
      </c>
      <c r="C20" s="3">
        <f>IFERROR(VLOOKUP($B20,'Último rebalanceo'!$B$7:$H$41,2,0),0)</f>
        <v>0</v>
      </c>
      <c r="D20" s="3">
        <f>IFERROR(VLOOKUP($B20,'Último rebalanceo'!$B$7:$L$41,10,0),0)</f>
        <v>0</v>
      </c>
      <c r="E20" s="4">
        <f>IFERROR(VLOOKUP($B20,'Último rebalanceo'!$B$7:$L$41,11,0),0)</f>
        <v>0</v>
      </c>
      <c r="F20" s="5">
        <f t="shared" si="0"/>
        <v>0</v>
      </c>
      <c r="G20" s="4">
        <f>IFERROR(VLOOKUP($B20,'Último rebalanceo'!$B$7:$H$41,7,0),0)</f>
        <v>0</v>
      </c>
      <c r="H20" s="5">
        <f t="shared" si="1"/>
        <v>0</v>
      </c>
      <c r="I20" s="5">
        <v>0</v>
      </c>
      <c r="J20" s="6" t="e">
        <f t="shared" si="7"/>
        <v>#DIV/0!</v>
      </c>
      <c r="K20" s="6">
        <f t="shared" si="8"/>
        <v>0</v>
      </c>
      <c r="L20" s="115">
        <f>IFERROR(VLOOKUP(B20,GICS!A:C,3,0),0)</f>
        <v>0</v>
      </c>
      <c r="M20" s="7"/>
      <c r="N20" s="8"/>
      <c r="O20" s="8"/>
      <c r="W20" s="111"/>
      <c r="X20" s="111"/>
    </row>
    <row r="21" spans="2:26" ht="16.5" thickTop="1" thickBot="1" x14ac:dyDescent="0.5">
      <c r="B21" s="3" t="str" cm="1">
        <f t="array" ref="B21">IF(ROW(A16) &lt;= COUNTA(_xlfn._xlws.FILTER('Último rebalanceo'!B$7:B$41, ('Último rebalanceo'!$K$7:$K$41&gt;0)*ISNUMBER('Último rebalanceo'!$K$7:$K$41))),
INDEX(_xlfn._xlws.FILTER('Último rebalanceo'!B$7:$B$41, ('Último rebalanceo'!$K$7:$K$41&gt;0)*ISNUMBER('Último rebalanceo'!$K$7:$K$41)), ROW(A16)),
"0")</f>
        <v>0</v>
      </c>
      <c r="C21" s="3">
        <f>IFERROR(VLOOKUP($B21,'Último rebalanceo'!$B$7:$H$41,2,0),0)</f>
        <v>0</v>
      </c>
      <c r="D21" s="3">
        <f>IFERROR(VLOOKUP($B21,'Último rebalanceo'!$B$7:$L$41,10,0),0)</f>
        <v>0</v>
      </c>
      <c r="E21" s="4">
        <f>IFERROR(VLOOKUP($B21,'Último rebalanceo'!$B$7:$L$41,11,0),0)</f>
        <v>0</v>
      </c>
      <c r="F21" s="5">
        <f t="shared" si="0"/>
        <v>0</v>
      </c>
      <c r="G21" s="4">
        <f>IFERROR(VLOOKUP($B21,'Último rebalanceo'!$B$7:$H$41,7,0),0)</f>
        <v>0</v>
      </c>
      <c r="H21" s="5">
        <f t="shared" si="1"/>
        <v>0</v>
      </c>
      <c r="I21" s="5">
        <v>0</v>
      </c>
      <c r="J21" s="6" t="e">
        <f t="shared" si="7"/>
        <v>#DIV/0!</v>
      </c>
      <c r="K21" s="6">
        <f t="shared" si="8"/>
        <v>0</v>
      </c>
      <c r="L21" s="115">
        <f>IFERROR(VLOOKUP(B21,GICS!A:C,3,0),0)</f>
        <v>0</v>
      </c>
      <c r="M21" s="7"/>
      <c r="N21" s="8"/>
      <c r="O21" s="8"/>
      <c r="S21" s="111"/>
      <c r="T21" s="112"/>
      <c r="U21" s="112"/>
      <c r="V21" s="112"/>
      <c r="W21" s="111"/>
      <c r="X21" s="111"/>
    </row>
    <row r="22" spans="2:26" ht="16.5" thickTop="1" thickBot="1" x14ac:dyDescent="0.5">
      <c r="B22" s="3" t="str" cm="1">
        <f t="array" ref="B22">IF(ROW(A17) &lt;= COUNTA(_xlfn._xlws.FILTER('Último rebalanceo'!B$7:B$41, ('Último rebalanceo'!$K$7:$K$41&gt;0)*ISNUMBER('Último rebalanceo'!$K$7:$K$41))),
INDEX(_xlfn._xlws.FILTER('Último rebalanceo'!B$7:$B$41, ('Último rebalanceo'!$K$7:$K$41&gt;0)*ISNUMBER('Último rebalanceo'!$K$7:$K$41)), ROW(A17)),
"0")</f>
        <v>0</v>
      </c>
      <c r="C22" s="3">
        <f>IFERROR(VLOOKUP($B22,'Último rebalanceo'!$B$7:$H$41,2,0),0)</f>
        <v>0</v>
      </c>
      <c r="D22" s="3">
        <f>IFERROR(VLOOKUP($B22,'Último rebalanceo'!$B$7:$L$41,10,0),0)</f>
        <v>0</v>
      </c>
      <c r="E22" s="4">
        <f>IFERROR(VLOOKUP($B22,'Último rebalanceo'!$B$7:$L$41,11,0),0)</f>
        <v>0</v>
      </c>
      <c r="F22" s="5">
        <f t="shared" si="0"/>
        <v>0</v>
      </c>
      <c r="G22" s="4">
        <f>IFERROR(VLOOKUP($B22,'Último rebalanceo'!$B$7:$H$41,7,0),0)</f>
        <v>0</v>
      </c>
      <c r="H22" s="5">
        <f t="shared" si="1"/>
        <v>0</v>
      </c>
      <c r="I22" s="5">
        <v>0</v>
      </c>
      <c r="J22" s="6" t="e">
        <f t="shared" si="7"/>
        <v>#DIV/0!</v>
      </c>
      <c r="K22" s="6">
        <f t="shared" si="8"/>
        <v>0</v>
      </c>
      <c r="L22" s="115">
        <f>IFERROR(VLOOKUP(B22,GICS!A:C,3,0),0)</f>
        <v>0</v>
      </c>
      <c r="M22" s="7"/>
      <c r="N22" s="8"/>
      <c r="O22" s="8"/>
      <c r="S22" s="111"/>
      <c r="T22" s="112"/>
      <c r="U22" s="112"/>
      <c r="V22" s="112"/>
      <c r="W22" s="111"/>
      <c r="X22" s="111"/>
    </row>
    <row r="23" spans="2:26" ht="16.5" thickTop="1" thickBot="1" x14ac:dyDescent="0.5">
      <c r="B23" s="3" t="str" cm="1">
        <f t="array" ref="B23">IF(ROW(A18) &lt;= COUNTA(_xlfn._xlws.FILTER('Último rebalanceo'!B$7:B$41, ('Último rebalanceo'!$K$7:$K$41&gt;0)*ISNUMBER('Último rebalanceo'!$K$7:$K$41))),
INDEX(_xlfn._xlws.FILTER('Último rebalanceo'!B$7:$B$41, ('Último rebalanceo'!$K$7:$K$41&gt;0)*ISNUMBER('Último rebalanceo'!$K$7:$K$41)), ROW(A18)),
"0")</f>
        <v>0</v>
      </c>
      <c r="C23" s="3">
        <f>IFERROR(VLOOKUP($B23,'Último rebalanceo'!$B$7:$H$41,2,0),0)</f>
        <v>0</v>
      </c>
      <c r="D23" s="3">
        <f>IFERROR(VLOOKUP($B23,'Último rebalanceo'!$B$7:$L$41,10,0),0)</f>
        <v>0</v>
      </c>
      <c r="E23" s="4">
        <f>IFERROR(VLOOKUP($B23,'Último rebalanceo'!$B$7:$L$41,11,0),0)</f>
        <v>0</v>
      </c>
      <c r="F23" s="5">
        <f t="shared" si="0"/>
        <v>0</v>
      </c>
      <c r="G23" s="4">
        <f>IFERROR(VLOOKUP($B23,'Último rebalanceo'!$B$7:$H$41,7,0),0)</f>
        <v>0</v>
      </c>
      <c r="H23" s="5">
        <f t="shared" si="1"/>
        <v>0</v>
      </c>
      <c r="I23" s="5">
        <v>0</v>
      </c>
      <c r="J23" s="6" t="e">
        <f t="shared" si="7"/>
        <v>#DIV/0!</v>
      </c>
      <c r="K23" s="6">
        <f t="shared" si="8"/>
        <v>0</v>
      </c>
      <c r="L23" s="115">
        <f>IFERROR(VLOOKUP(B23,GICS!A:C,3,0),0)</f>
        <v>0</v>
      </c>
      <c r="M23" s="7"/>
      <c r="N23" s="8"/>
      <c r="O23" s="8"/>
      <c r="S23" s="111"/>
      <c r="T23" s="112"/>
      <c r="U23" s="112"/>
      <c r="V23" s="112"/>
      <c r="W23" s="111"/>
      <c r="X23" s="111"/>
    </row>
    <row r="24" spans="2:26" ht="16.5" thickTop="1" thickBot="1" x14ac:dyDescent="0.5">
      <c r="B24" s="3" t="str" cm="1">
        <f t="array" ref="B24">IF(ROW(A19) &lt;= COUNTA(_xlfn._xlws.FILTER('Último rebalanceo'!B$7:B$41, ('Último rebalanceo'!$K$7:$K$41&gt;0)*ISNUMBER('Último rebalanceo'!$K$7:$K$41))),
INDEX(_xlfn._xlws.FILTER('Último rebalanceo'!B$7:$B$41, ('Último rebalanceo'!$K$7:$K$41&gt;0)*ISNUMBER('Último rebalanceo'!$K$7:$K$41)), ROW(A19)),
"0")</f>
        <v>0</v>
      </c>
      <c r="C24" s="3">
        <f>IFERROR(VLOOKUP($B24,'Último rebalanceo'!$B$7:$H$41,2,0),0)</f>
        <v>0</v>
      </c>
      <c r="D24" s="3">
        <f>IFERROR(VLOOKUP($B24,'Último rebalanceo'!$B$7:$L$41,10,0),0)</f>
        <v>0</v>
      </c>
      <c r="E24" s="4">
        <f>IFERROR(VLOOKUP($B24,'Último rebalanceo'!$B$7:$L$41,11,0),0)</f>
        <v>0</v>
      </c>
      <c r="F24" s="5">
        <f t="shared" si="0"/>
        <v>0</v>
      </c>
      <c r="G24" s="4">
        <f>IFERROR(VLOOKUP($B24,'Último rebalanceo'!$B$7:$H$41,7,0),0)</f>
        <v>0</v>
      </c>
      <c r="H24" s="5">
        <f t="shared" si="1"/>
        <v>0</v>
      </c>
      <c r="I24" s="5">
        <v>0</v>
      </c>
      <c r="J24" s="6" t="e">
        <f t="shared" si="7"/>
        <v>#DIV/0!</v>
      </c>
      <c r="K24" s="6">
        <f t="shared" si="8"/>
        <v>0</v>
      </c>
      <c r="L24" s="115">
        <f>IFERROR(VLOOKUP(B24,GICS!A:C,3,0),0)</f>
        <v>0</v>
      </c>
      <c r="M24" s="7"/>
      <c r="N24" s="8"/>
      <c r="O24" s="8"/>
      <c r="S24" s="111"/>
      <c r="T24" s="112"/>
      <c r="U24" s="112"/>
      <c r="V24" s="112"/>
      <c r="W24" s="111"/>
      <c r="X24" s="111"/>
    </row>
    <row r="25" spans="2:26" ht="16.5" thickTop="1" thickBot="1" x14ac:dyDescent="0.5">
      <c r="B25" s="3" t="str" cm="1">
        <f t="array" ref="B25">IF(ROW(A20) &lt;= COUNTA(_xlfn._xlws.FILTER('Último rebalanceo'!B$7:B$41, ('Último rebalanceo'!$K$7:$K$41&gt;0)*ISNUMBER('Último rebalanceo'!$K$7:$K$41))),
INDEX(_xlfn._xlws.FILTER('Último rebalanceo'!B$7:$B$41, ('Último rebalanceo'!$K$7:$K$41&gt;0)*ISNUMBER('Último rebalanceo'!$K$7:$K$41)), ROW(A20)),
"0")</f>
        <v>0</v>
      </c>
      <c r="C25" s="3">
        <f>IFERROR(VLOOKUP($B25,'Último rebalanceo'!$B$7:$H$41,2,0),0)</f>
        <v>0</v>
      </c>
      <c r="D25" s="3">
        <f>IFERROR(VLOOKUP($B25,'Último rebalanceo'!$B$7:$L$41,10,0),0)</f>
        <v>0</v>
      </c>
      <c r="E25" s="4">
        <f>IFERROR(VLOOKUP($B25,'Último rebalanceo'!$B$7:$L$41,11,0),0)</f>
        <v>0</v>
      </c>
      <c r="F25" s="5">
        <f t="shared" si="0"/>
        <v>0</v>
      </c>
      <c r="G25" s="4">
        <f>IFERROR(VLOOKUP($B25,'Último rebalanceo'!$B$7:$H$41,7,0),0)</f>
        <v>0</v>
      </c>
      <c r="H25" s="5">
        <f t="shared" si="1"/>
        <v>0</v>
      </c>
      <c r="I25" s="5">
        <v>0</v>
      </c>
      <c r="J25" s="6" t="e">
        <f t="shared" si="7"/>
        <v>#DIV/0!</v>
      </c>
      <c r="K25" s="6">
        <f t="shared" si="8"/>
        <v>0</v>
      </c>
      <c r="L25" s="115">
        <f>IFERROR(VLOOKUP(B25,GICS!A:C,3,0),0)</f>
        <v>0</v>
      </c>
      <c r="M25" s="7"/>
      <c r="N25" s="8"/>
      <c r="O25" s="8"/>
      <c r="S25" s="111"/>
      <c r="T25" s="112"/>
      <c r="U25" s="112"/>
      <c r="V25" s="112"/>
      <c r="W25" s="111"/>
      <c r="X25" s="111"/>
    </row>
    <row r="26" spans="2:26" ht="15.5" thickTop="1" thickBot="1" x14ac:dyDescent="0.4">
      <c r="B26" s="3" t="str">
        <f>'Último rebalanceo'!B42</f>
        <v>EFECTIVO</v>
      </c>
      <c r="C26" s="3">
        <f>IFERROR(VLOOKUP($B26,'Último rebalanceo'!$B$7:$H$41,2,0),0)</f>
        <v>0</v>
      </c>
      <c r="D26" s="116">
        <f>'Último rebalanceo'!K42</f>
        <v>201.84416596579513</v>
      </c>
      <c r="E26" s="4">
        <f>IFERROR(VLOOKUP($B26,'Último rebalanceo'!$B$7:$L$41,11,0),0)</f>
        <v>0</v>
      </c>
      <c r="F26" s="5">
        <f t="shared" si="0"/>
        <v>0</v>
      </c>
      <c r="G26" s="4">
        <f>IFERROR(VLOOKUP($B26,'Último rebalanceo'!$B$7:$H$41,7,0),0)</f>
        <v>0</v>
      </c>
      <c r="H26" s="5">
        <f>D26</f>
        <v>201.84416596579513</v>
      </c>
      <c r="I26" s="13">
        <v>0.16989915740000003</v>
      </c>
      <c r="J26" s="6"/>
      <c r="K26" s="6">
        <f t="shared" si="8"/>
        <v>4.6439098131642797E-3</v>
      </c>
      <c r="L26" s="115" t="s">
        <v>56</v>
      </c>
    </row>
    <row r="27" spans="2:26" ht="15.5" thickTop="1" thickBot="1" x14ac:dyDescent="0.4">
      <c r="D27" s="20"/>
    </row>
    <row r="28" spans="2:26" ht="15.5" thickTop="1" thickBot="1" x14ac:dyDescent="0.4">
      <c r="B28" s="9" t="s">
        <v>10</v>
      </c>
      <c r="C28" s="9"/>
      <c r="D28" s="9"/>
      <c r="E28" s="9"/>
      <c r="F28" s="10"/>
      <c r="G28" s="10"/>
      <c r="H28" s="10">
        <f>SUM(H6:H26)</f>
        <v>43464.273443385842</v>
      </c>
      <c r="I28" s="105" t="s">
        <v>120</v>
      </c>
      <c r="J28" s="13">
        <f>H28/D3-1</f>
        <v>0.7385709377354337</v>
      </c>
      <c r="K28" s="11">
        <f>SUM(K6:K26)</f>
        <v>0.99999999999999978</v>
      </c>
      <c r="L28" s="18"/>
      <c r="M28" s="18"/>
      <c r="N28" s="18"/>
      <c r="O28" s="18"/>
    </row>
    <row r="29" spans="2:26" ht="15.5" thickTop="1" thickBot="1" x14ac:dyDescent="0.4">
      <c r="B29" s="49"/>
      <c r="C29" s="49"/>
      <c r="D29" s="49"/>
      <c r="E29" s="49"/>
      <c r="F29" s="50"/>
      <c r="G29" s="50"/>
      <c r="H29" s="50"/>
      <c r="I29" s="106" t="s">
        <v>119</v>
      </c>
      <c r="J29" s="13">
        <f>LN(H28/D3)</f>
        <v>0.55306347562263947</v>
      </c>
      <c r="K29" s="74"/>
      <c r="L29" s="18"/>
      <c r="M29" s="18"/>
      <c r="N29" s="18"/>
      <c r="O29" s="18"/>
    </row>
    <row r="30" spans="2:26" ht="15" thickTop="1" x14ac:dyDescent="0.35">
      <c r="B30" s="49"/>
      <c r="C30" s="49"/>
      <c r="D30" s="49"/>
      <c r="E30" s="49"/>
      <c r="F30" s="50"/>
      <c r="G30" s="50"/>
      <c r="H30" s="50"/>
      <c r="I30" s="50"/>
      <c r="J30" s="73"/>
      <c r="K30" s="74"/>
      <c r="L30" s="18"/>
      <c r="M30" s="18"/>
      <c r="N30" s="18"/>
      <c r="O30" s="18"/>
    </row>
    <row r="31" spans="2:26" ht="17" x14ac:dyDescent="0.45">
      <c r="B31" s="148" t="s">
        <v>29</v>
      </c>
      <c r="C31" s="148"/>
      <c r="M31" s="18"/>
      <c r="N31" s="18"/>
      <c r="O31" s="18"/>
    </row>
    <row r="32" spans="2:26" ht="15" hidden="1" outlineLevel="1" x14ac:dyDescent="0.4">
      <c r="B32" s="150" t="s">
        <v>23</v>
      </c>
      <c r="C32" s="150"/>
      <c r="D32" s="78">
        <v>15000</v>
      </c>
      <c r="E32" s="15"/>
      <c r="M32" s="18"/>
      <c r="N32" s="18"/>
      <c r="O32" s="18"/>
    </row>
    <row r="33" spans="2:15" ht="15" hidden="1" outlineLevel="1" x14ac:dyDescent="0.4">
      <c r="B33" s="150" t="s">
        <v>30</v>
      </c>
      <c r="C33" s="150"/>
      <c r="D33" s="135">
        <v>0</v>
      </c>
      <c r="E33" s="75"/>
      <c r="F33" s="75"/>
      <c r="G33" s="75"/>
      <c r="H33" s="75"/>
      <c r="I33" s="75"/>
      <c r="J33" s="75"/>
      <c r="K33" s="75"/>
      <c r="M33" s="18"/>
      <c r="N33" s="18"/>
      <c r="O33" s="18"/>
    </row>
    <row r="34" spans="2:15" ht="15" hidden="1" customHeight="1" outlineLevel="1" x14ac:dyDescent="0.35">
      <c r="B34" s="145" t="s">
        <v>46</v>
      </c>
      <c r="C34" s="145"/>
      <c r="D34" s="145"/>
      <c r="E34" s="145"/>
      <c r="F34" s="145"/>
      <c r="G34" s="145"/>
      <c r="H34" s="145"/>
      <c r="I34" s="145"/>
      <c r="J34" s="145"/>
      <c r="K34" s="145"/>
      <c r="M34" s="18"/>
      <c r="N34" s="18"/>
      <c r="O34" s="18"/>
    </row>
    <row r="35" spans="2:15" ht="15" hidden="1" customHeight="1" outlineLevel="1" x14ac:dyDescent="0.35">
      <c r="B35" s="145"/>
      <c r="C35" s="145"/>
      <c r="D35" s="145"/>
      <c r="E35" s="145"/>
      <c r="F35" s="145"/>
      <c r="G35" s="145"/>
      <c r="H35" s="145"/>
      <c r="I35" s="145"/>
      <c r="J35" s="145"/>
      <c r="K35" s="145"/>
      <c r="M35" s="18"/>
      <c r="N35" s="18"/>
      <c r="O35" s="18"/>
    </row>
    <row r="36" spans="2:15" ht="15" hidden="1" customHeight="1" outlineLevel="1" x14ac:dyDescent="0.4">
      <c r="B36" s="95"/>
      <c r="C36" s="95"/>
      <c r="D36" s="95"/>
      <c r="E36" s="95"/>
      <c r="F36" s="95"/>
      <c r="G36" s="95"/>
      <c r="H36" s="95"/>
      <c r="I36" s="95"/>
      <c r="J36" s="95"/>
      <c r="K36" s="95"/>
      <c r="M36" s="18"/>
      <c r="N36" s="18"/>
      <c r="O36" s="18"/>
    </row>
    <row r="37" spans="2:15" ht="16.5" hidden="1" outlineLevel="1" thickBot="1" x14ac:dyDescent="0.5">
      <c r="B37" s="149" t="s">
        <v>11</v>
      </c>
      <c r="C37" s="149"/>
      <c r="M37" s="18"/>
      <c r="N37" s="18"/>
      <c r="O37" s="18"/>
    </row>
    <row r="38" spans="2:15" ht="36" hidden="1" outlineLevel="1" thickTop="1" thickBot="1" x14ac:dyDescent="0.4">
      <c r="B38" s="16" t="s">
        <v>1</v>
      </c>
      <c r="C38" s="16" t="s">
        <v>2</v>
      </c>
      <c r="D38" s="16" t="s">
        <v>3</v>
      </c>
      <c r="E38" s="17" t="s">
        <v>8</v>
      </c>
      <c r="F38" s="16" t="s">
        <v>4</v>
      </c>
      <c r="G38" s="17" t="s">
        <v>15</v>
      </c>
      <c r="H38" s="16" t="s">
        <v>9</v>
      </c>
      <c r="I38" s="17" t="s">
        <v>31</v>
      </c>
      <c r="J38" s="17" t="s">
        <v>162</v>
      </c>
      <c r="K38" s="17" t="s">
        <v>5</v>
      </c>
      <c r="L38" s="2" t="s">
        <v>6</v>
      </c>
      <c r="M38" s="71" t="s">
        <v>26</v>
      </c>
      <c r="N38" s="20"/>
      <c r="O38" s="18"/>
    </row>
    <row r="39" spans="2:15" ht="15.5" hidden="1" outlineLevel="1" thickTop="1" thickBot="1" x14ac:dyDescent="0.4">
      <c r="B39" s="3" t="str">
        <f>B6</f>
        <v>ALSEA</v>
      </c>
      <c r="C39" s="3" t="str">
        <f>C6</f>
        <v>Alsea SA</v>
      </c>
      <c r="D39" s="132">
        <f>IFERROR(VLOOKUP(B39,'Último rebalanceo'!$B$90:$K$124,10,0),0)</f>
        <v>46</v>
      </c>
      <c r="E39" s="69">
        <f>IFERROR(VLOOKUP(B39,'Último rebalanceo'!$B$90:$L$124,11,0),0)</f>
        <v>42.32326195758322</v>
      </c>
      <c r="F39" s="5">
        <f t="shared" ref="F39:F50" si="9">D39*E39</f>
        <v>1946.870050048828</v>
      </c>
      <c r="G39" s="5">
        <f t="shared" ref="G39:G58" si="10">G6</f>
        <v>43.970001220703125</v>
      </c>
      <c r="H39" s="5">
        <f t="shared" ref="H39:H50" si="11">D39*G39</f>
        <v>2022.6200561523438</v>
      </c>
      <c r="I39" s="77">
        <v>0</v>
      </c>
      <c r="J39" s="6">
        <f>(H39+I39)/F39-1</f>
        <v>3.8908609283714535E-2</v>
      </c>
      <c r="K39" s="6">
        <f t="shared" ref="K39:K50" si="12">H39/$H$61</f>
        <v>6.7315177809426904E-2</v>
      </c>
      <c r="L39" s="6">
        <f t="shared" ref="L39:L58" si="13">K6</f>
        <v>6.6767941821146898E-2</v>
      </c>
      <c r="M39" s="21">
        <f>K39-L39</f>
        <v>5.4723598828000652E-4</v>
      </c>
      <c r="N39" s="20"/>
      <c r="O39" s="18"/>
    </row>
    <row r="40" spans="2:15" ht="15.5" hidden="1" outlineLevel="1" thickTop="1" thickBot="1" x14ac:dyDescent="0.4">
      <c r="B40" s="3" t="str">
        <f t="shared" ref="B40:C40" si="14">B7</f>
        <v>LIVEPOLC-1</v>
      </c>
      <c r="C40" s="3" t="str">
        <f t="shared" si="14"/>
        <v>El Puerto de Liverpool SAB de CV</v>
      </c>
      <c r="D40" s="132">
        <f>IFERROR(VLOOKUP(B40,'Último rebalanceo'!$B$90:$K$124,10,0),0)</f>
        <v>22</v>
      </c>
      <c r="E40" s="69">
        <f>IFERROR(VLOOKUP(B40,'Último rebalanceo'!$B$90:$L$124,11,0),0)</f>
        <v>103.73</v>
      </c>
      <c r="F40" s="5">
        <f t="shared" si="9"/>
        <v>2282.06</v>
      </c>
      <c r="G40" s="5">
        <f t="shared" si="10"/>
        <v>90.30999755859375</v>
      </c>
      <c r="H40" s="5">
        <f t="shared" si="11"/>
        <v>1986.8199462890625</v>
      </c>
      <c r="I40" s="77">
        <v>0</v>
      </c>
      <c r="J40" s="6">
        <f t="shared" ref="J40:J48" si="15">(H40+I40)/F40-1</f>
        <v>-0.12937436075779662</v>
      </c>
      <c r="K40" s="6">
        <f t="shared" si="12"/>
        <v>6.612370798605921E-2</v>
      </c>
      <c r="L40" s="6">
        <f t="shared" si="13"/>
        <v>6.6489548609141011E-2</v>
      </c>
      <c r="M40" s="21">
        <f t="shared" ref="M40:M59" si="16">K40-L40</f>
        <v>-3.6584062308180065E-4</v>
      </c>
      <c r="N40" s="20"/>
      <c r="O40" s="18"/>
    </row>
    <row r="41" spans="2:15" ht="15.5" hidden="1" outlineLevel="1" thickTop="1" thickBot="1" x14ac:dyDescent="0.4">
      <c r="B41" s="3" t="str">
        <f t="shared" ref="B41:C41" si="17">B8</f>
        <v>PE&amp;OLES</v>
      </c>
      <c r="C41" s="3" t="str">
        <f t="shared" si="17"/>
        <v>Industrias Penoles</v>
      </c>
      <c r="D41" s="132">
        <f>IFERROR(VLOOKUP(B41,'Último rebalanceo'!$B$90:$K$124,10,0),0)</f>
        <v>9</v>
      </c>
      <c r="E41" s="69">
        <f>IFERROR(VLOOKUP(B41,'Último rebalanceo'!$B$90:$L$124,11,0),0)</f>
        <v>250.63443901909724</v>
      </c>
      <c r="F41" s="5">
        <f t="shared" si="9"/>
        <v>2255.7099511718752</v>
      </c>
      <c r="G41" s="5">
        <f t="shared" si="10"/>
        <v>392.989990234375</v>
      </c>
      <c r="H41" s="5">
        <f t="shared" si="11"/>
        <v>3536.909912109375</v>
      </c>
      <c r="I41" s="77">
        <v>0</v>
      </c>
      <c r="J41" s="6">
        <f t="shared" si="15"/>
        <v>0.56798080811404716</v>
      </c>
      <c r="K41" s="6">
        <f t="shared" si="12"/>
        <v>0.1177125278202197</v>
      </c>
      <c r="L41" s="6">
        <f t="shared" si="13"/>
        <v>0.11754182155377349</v>
      </c>
      <c r="M41" s="21">
        <f t="shared" si="16"/>
        <v>1.7070626644620501E-4</v>
      </c>
      <c r="N41" s="20"/>
      <c r="O41" s="18"/>
    </row>
    <row r="42" spans="2:15" ht="15.5" hidden="1" outlineLevel="1" thickTop="1" thickBot="1" x14ac:dyDescent="0.4">
      <c r="B42" s="3" t="str">
        <f t="shared" ref="B42:C42" si="18">B9</f>
        <v>CUERVO</v>
      </c>
      <c r="C42" s="3" t="str">
        <f t="shared" si="18"/>
        <v>Becle, S.A. De C.V.</v>
      </c>
      <c r="D42" s="132">
        <f>IFERROR(VLOOKUP(B42,'Último rebalanceo'!$B$90:$K$124,10,0),0)</f>
        <v>88</v>
      </c>
      <c r="E42" s="69">
        <f>IFERROR(VLOOKUP(B42,'Último rebalanceo'!$B$90:$L$124,11,0),0)</f>
        <v>22.524772801832718</v>
      </c>
      <c r="F42" s="5">
        <f t="shared" si="9"/>
        <v>1982.1800065612792</v>
      </c>
      <c r="G42" s="5">
        <f t="shared" si="10"/>
        <v>22.670000076293945</v>
      </c>
      <c r="H42" s="5">
        <f t="shared" si="11"/>
        <v>1994.9600067138672</v>
      </c>
      <c r="I42" s="77">
        <v>0</v>
      </c>
      <c r="J42" s="6">
        <f t="shared" si="15"/>
        <v>6.447446806185253E-3</v>
      </c>
      <c r="K42" s="6">
        <f t="shared" si="12"/>
        <v>6.63946187847574E-2</v>
      </c>
      <c r="L42" s="6">
        <f t="shared" si="13"/>
        <v>6.6761958267755175E-2</v>
      </c>
      <c r="M42" s="21">
        <f t="shared" si="16"/>
        <v>-3.6733948299777497E-4</v>
      </c>
      <c r="N42" s="20"/>
      <c r="O42" s="18"/>
    </row>
    <row r="43" spans="2:15" ht="15.5" hidden="1" outlineLevel="1" thickTop="1" thickBot="1" x14ac:dyDescent="0.4">
      <c r="B43" s="3" t="str">
        <f t="shared" ref="B43:C43" si="19">B10</f>
        <v>Q</v>
      </c>
      <c r="C43" s="3" t="str">
        <f t="shared" si="19"/>
        <v>Qualitas Controladora S.A.B de C.V.</v>
      </c>
      <c r="D43" s="132">
        <f>IFERROR(VLOOKUP(B43,'Último rebalanceo'!$B$90:$K$124,10,0),0)</f>
        <v>9</v>
      </c>
      <c r="E43" s="69">
        <f>IFERROR(VLOOKUP(B43,'Último rebalanceo'!$B$90:$L$124,11,0),0)</f>
        <v>196.7699976264106</v>
      </c>
      <c r="F43" s="5">
        <f t="shared" si="9"/>
        <v>1770.9299786376955</v>
      </c>
      <c r="G43" s="5">
        <f t="shared" si="10"/>
        <v>216.94999694824219</v>
      </c>
      <c r="H43" s="5">
        <f t="shared" si="11"/>
        <v>1952.5499725341797</v>
      </c>
      <c r="I43" s="77">
        <v>0</v>
      </c>
      <c r="J43" s="6">
        <f t="shared" si="15"/>
        <v>0.10255628177698872</v>
      </c>
      <c r="K43" s="6">
        <f t="shared" si="12"/>
        <v>6.4983162894648047E-2</v>
      </c>
      <c r="L43" s="6">
        <f t="shared" si="13"/>
        <v>6.4888924555492236E-2</v>
      </c>
      <c r="M43" s="21">
        <f t="shared" si="16"/>
        <v>9.4238339155811035E-5</v>
      </c>
      <c r="N43" s="20"/>
      <c r="O43" s="18"/>
    </row>
    <row r="44" spans="2:15" ht="15.5" hidden="1" outlineLevel="1" thickTop="1" thickBot="1" x14ac:dyDescent="0.4">
      <c r="B44" s="3" t="str">
        <f t="shared" ref="B44:C51" si="20">B11</f>
        <v>BOLSAA</v>
      </c>
      <c r="C44" s="3" t="str">
        <f t="shared" si="20"/>
        <v>Bolsa Mexicana de Valores SA de CV</v>
      </c>
      <c r="D44" s="132">
        <f>IFERROR(VLOOKUP(B44,'Último rebalanceo'!$B$90:$K$124,10,0),0)</f>
        <v>85</v>
      </c>
      <c r="E44" s="69">
        <f>IFERROR(VLOOKUP(B44,'Último rebalanceo'!$B$90:$L$124,11,0),0)</f>
        <v>41.319999694824219</v>
      </c>
      <c r="F44" s="5">
        <f t="shared" si="9"/>
        <v>3512.1999740600586</v>
      </c>
      <c r="G44" s="5">
        <f t="shared" si="10"/>
        <v>41.319999694824219</v>
      </c>
      <c r="H44" s="5">
        <f t="shared" si="11"/>
        <v>3512.1999740600586</v>
      </c>
      <c r="I44" s="77">
        <v>0</v>
      </c>
      <c r="J44" s="6">
        <f t="shared" si="15"/>
        <v>0</v>
      </c>
      <c r="K44" s="6">
        <f t="shared" si="12"/>
        <v>0.1168901519773667</v>
      </c>
      <c r="L44" s="6">
        <f t="shared" si="13"/>
        <v>0.1169318973911615</v>
      </c>
      <c r="M44" s="21">
        <f t="shared" si="16"/>
        <v>-4.1745413794799791E-5</v>
      </c>
      <c r="N44" s="20"/>
      <c r="O44" s="18"/>
    </row>
    <row r="45" spans="2:15" ht="15.5" hidden="1" outlineLevel="1" thickTop="1" thickBot="1" x14ac:dyDescent="0.4">
      <c r="B45" s="3" t="str">
        <f t="shared" si="20"/>
        <v>GENTERA</v>
      </c>
      <c r="C45" s="3" t="str">
        <f t="shared" si="20"/>
        <v>Gentera SAB de CV</v>
      </c>
      <c r="D45" s="132">
        <f>IFERROR(VLOOKUP(B45,'Último rebalanceo'!$B$90:$K$124,10,0),0)</f>
        <v>102</v>
      </c>
      <c r="E45" s="69">
        <f>IFERROR(VLOOKUP(B45,'Último rebalanceo'!$B$90:$L$124,11,0),0)</f>
        <v>34.189998626708984</v>
      </c>
      <c r="F45" s="5">
        <f t="shared" si="9"/>
        <v>3487.3798599243164</v>
      </c>
      <c r="G45" s="5">
        <f t="shared" si="10"/>
        <v>34.189998626708984</v>
      </c>
      <c r="H45" s="5">
        <f t="shared" si="11"/>
        <v>3487.3798599243164</v>
      </c>
      <c r="I45" s="77">
        <v>0</v>
      </c>
      <c r="J45" s="6">
        <f t="shared" si="15"/>
        <v>0</v>
      </c>
      <c r="K45" s="6">
        <f t="shared" si="12"/>
        <v>0.11606410934458668</v>
      </c>
      <c r="L45" s="6">
        <f t="shared" si="13"/>
        <v>0.11642020896412686</v>
      </c>
      <c r="M45" s="21">
        <f t="shared" si="16"/>
        <v>-3.5609961954018166E-4</v>
      </c>
      <c r="N45" s="20"/>
      <c r="O45" s="18"/>
    </row>
    <row r="46" spans="2:15" ht="15.5" hidden="1" outlineLevel="1" thickTop="1" thickBot="1" x14ac:dyDescent="0.4">
      <c r="B46" s="3" t="str">
        <f t="shared" si="20"/>
        <v>GFNORTEO</v>
      </c>
      <c r="C46" s="3" t="str">
        <f t="shared" si="20"/>
        <v>Grupo Financiero Banorte O</v>
      </c>
      <c r="D46" s="132">
        <f>IFERROR(VLOOKUP(B46,'Último rebalanceo'!$B$90:$K$124,10,0),0)</f>
        <v>12</v>
      </c>
      <c r="E46" s="69">
        <f>IFERROR(VLOOKUP(B46,'Último rebalanceo'!$B$90:$L$124,11,0),0)</f>
        <v>168.14999389648438</v>
      </c>
      <c r="F46" s="5">
        <f t="shared" si="9"/>
        <v>2017.7999267578125</v>
      </c>
      <c r="G46" s="5">
        <f t="shared" si="10"/>
        <v>168.14999389648438</v>
      </c>
      <c r="H46" s="5">
        <f t="shared" si="11"/>
        <v>2017.7999267578125</v>
      </c>
      <c r="I46" s="77">
        <v>0</v>
      </c>
      <c r="J46" s="6">
        <f t="shared" si="15"/>
        <v>0</v>
      </c>
      <c r="K46" s="6">
        <f t="shared" si="12"/>
        <v>6.7154758225793115E-2</v>
      </c>
      <c r="L46" s="6">
        <f t="shared" si="13"/>
        <v>6.576780582709206E-2</v>
      </c>
      <c r="M46" s="21">
        <f t="shared" si="16"/>
        <v>1.3869523987010551E-3</v>
      </c>
      <c r="N46" s="20"/>
      <c r="O46" s="18"/>
    </row>
    <row r="47" spans="2:15" ht="15.5" hidden="1" outlineLevel="1" thickTop="1" thickBot="1" x14ac:dyDescent="0.4">
      <c r="B47" s="3" t="str">
        <f t="shared" si="20"/>
        <v>MEGACPO</v>
      </c>
      <c r="C47" s="3" t="str">
        <f t="shared" si="20"/>
        <v>Megacable Holdings SAB de CV</v>
      </c>
      <c r="D47" s="132">
        <f>IFERROR(VLOOKUP(B47,'Último rebalanceo'!$B$90:$K$124,10,0),0)</f>
        <v>42</v>
      </c>
      <c r="E47" s="69">
        <f>IFERROR(VLOOKUP(B47,'Último rebalanceo'!$B$90:$L$124,11,0),0)</f>
        <v>47.700000762939453</v>
      </c>
      <c r="F47" s="5">
        <f t="shared" si="9"/>
        <v>2003.400032043457</v>
      </c>
      <c r="G47" s="5">
        <f t="shared" si="10"/>
        <v>47.700000762939453</v>
      </c>
      <c r="H47" s="5">
        <f t="shared" si="11"/>
        <v>2003.400032043457</v>
      </c>
      <c r="I47" s="77">
        <v>0</v>
      </c>
      <c r="J47" s="6">
        <f t="shared" si="15"/>
        <v>0</v>
      </c>
      <c r="K47" s="6">
        <f t="shared" si="12"/>
        <v>6.6675512768800155E-2</v>
      </c>
      <c r="L47" s="6">
        <f t="shared" si="13"/>
        <v>6.6944637883555577E-2</v>
      </c>
      <c r="M47" s="21">
        <f t="shared" si="16"/>
        <v>-2.6912511475542245E-4</v>
      </c>
      <c r="N47" s="20"/>
      <c r="O47" s="18"/>
    </row>
    <row r="48" spans="2:15" ht="15.5" hidden="1" outlineLevel="1" thickTop="1" thickBot="1" x14ac:dyDescent="0.4">
      <c r="B48" s="3" t="str">
        <f t="shared" si="20"/>
        <v>OMAB</v>
      </c>
      <c r="C48" s="3" t="str">
        <f t="shared" si="20"/>
        <v>Grupo Aeroportuario del Centro Norte, S.A.B. de C.V.</v>
      </c>
      <c r="D48" s="132">
        <f>IFERROR(VLOOKUP(B48,'Último rebalanceo'!$B$90:$K$124,10,0),0)</f>
        <v>9</v>
      </c>
      <c r="E48" s="69">
        <f>IFERROR(VLOOKUP(B48,'Último rebalanceo'!$B$90:$L$124,11,0),0)</f>
        <v>215.78999328613281</v>
      </c>
      <c r="F48" s="5">
        <f t="shared" si="9"/>
        <v>1942.1099395751953</v>
      </c>
      <c r="G48" s="5">
        <f t="shared" si="10"/>
        <v>215.78999328613281</v>
      </c>
      <c r="H48" s="5">
        <f t="shared" si="11"/>
        <v>1942.1099395751953</v>
      </c>
      <c r="I48" s="77">
        <v>0</v>
      </c>
      <c r="J48" s="6">
        <f t="shared" si="15"/>
        <v>0</v>
      </c>
      <c r="K48" s="6">
        <f t="shared" si="12"/>
        <v>6.4635706300992385E-2</v>
      </c>
      <c r="L48" s="6">
        <f t="shared" si="13"/>
        <v>6.4541971842085794E-2</v>
      </c>
      <c r="M48" s="21">
        <f t="shared" si="16"/>
        <v>9.3734458906591378E-5</v>
      </c>
      <c r="N48" s="20"/>
      <c r="O48" s="18"/>
    </row>
    <row r="49" spans="2:16" ht="15.5" hidden="1" outlineLevel="1" thickTop="1" thickBot="1" x14ac:dyDescent="0.4">
      <c r="B49" s="3" t="str">
        <f t="shared" si="20"/>
        <v>ORBIA</v>
      </c>
      <c r="C49" s="3" t="str">
        <f t="shared" si="20"/>
        <v>ORBIA ADVANCE CORPORATION SAB de CV</v>
      </c>
      <c r="D49" s="132">
        <f>IFERROR(VLOOKUP(B49,'Último rebalanceo'!$B$90:$K$124,10,0),0)</f>
        <v>265</v>
      </c>
      <c r="E49" s="69">
        <f>IFERROR(VLOOKUP(B49,'Último rebalanceo'!$B$90:$L$124,11,0),0)</f>
        <v>13.239999771118164</v>
      </c>
      <c r="F49" s="5">
        <f t="shared" si="9"/>
        <v>3508.5999393463135</v>
      </c>
      <c r="G49" s="5">
        <f t="shared" si="10"/>
        <v>13.239999771118164</v>
      </c>
      <c r="H49" s="5">
        <f t="shared" si="11"/>
        <v>3508.5999393463135</v>
      </c>
      <c r="I49" s="77">
        <v>0</v>
      </c>
      <c r="J49" s="6">
        <f t="shared" ref="J49:J50" si="21">(H49+I49)/F49-1</f>
        <v>0</v>
      </c>
      <c r="K49" s="6">
        <f t="shared" si="12"/>
        <v>0.11677033858179656</v>
      </c>
      <c r="L49" s="6">
        <f t="shared" si="13"/>
        <v>0.11666869156212531</v>
      </c>
      <c r="M49" s="21">
        <f t="shared" ref="M49:M50" si="22">K49-L49</f>
        <v>1.0164701967124712E-4</v>
      </c>
      <c r="N49" s="20"/>
      <c r="O49" s="18"/>
    </row>
    <row r="50" spans="2:16" ht="15.5" hidden="1" outlineLevel="1" thickTop="1" thickBot="1" x14ac:dyDescent="0.4">
      <c r="B50" s="3" t="str">
        <f t="shared" si="20"/>
        <v>PINFRA</v>
      </c>
      <c r="C50" s="3" t="str">
        <f t="shared" si="20"/>
        <v>Promotora y Operadora de Infraestructura SAB de CV</v>
      </c>
      <c r="D50" s="132">
        <f>IFERROR(VLOOKUP(B50,'Último rebalanceo'!$B$90:$K$124,10,0),0)</f>
        <v>9</v>
      </c>
      <c r="E50" s="69">
        <f>IFERROR(VLOOKUP(B50,'Último rebalanceo'!$B$90:$L$124,11,0),0)</f>
        <v>219.42999267578125</v>
      </c>
      <c r="F50" s="5">
        <f t="shared" si="9"/>
        <v>1974.8699340820313</v>
      </c>
      <c r="G50" s="5">
        <f t="shared" si="10"/>
        <v>219.42999267578125</v>
      </c>
      <c r="H50" s="5">
        <f t="shared" si="11"/>
        <v>1974.8699340820313</v>
      </c>
      <c r="I50" s="77">
        <v>0</v>
      </c>
      <c r="J50" s="6">
        <f t="shared" si="21"/>
        <v>0</v>
      </c>
      <c r="K50" s="6">
        <f t="shared" si="12"/>
        <v>6.5725997504501255E-2</v>
      </c>
      <c r="L50" s="6">
        <f t="shared" si="13"/>
        <v>6.5630681909379707E-2</v>
      </c>
      <c r="M50" s="21">
        <f t="shared" si="22"/>
        <v>9.5315595121547858E-5</v>
      </c>
      <c r="N50" s="20"/>
      <c r="O50" s="18"/>
    </row>
    <row r="51" spans="2:16" ht="15.5" hidden="1" outlineLevel="1" thickTop="1" thickBot="1" x14ac:dyDescent="0.4">
      <c r="B51" s="3" t="str">
        <f t="shared" si="20"/>
        <v>0</v>
      </c>
      <c r="C51" s="3">
        <f t="shared" ref="C51" si="23">C18</f>
        <v>0</v>
      </c>
      <c r="D51" s="132">
        <f>IFERROR(VLOOKUP(B51,'Último rebalanceo'!$B$90:$K$124,10,0),0)</f>
        <v>0</v>
      </c>
      <c r="E51" s="69">
        <f>IFERROR(VLOOKUP(B51,'Último rebalanceo'!$B$90:$L$124,11,0),0)</f>
        <v>0</v>
      </c>
      <c r="F51" s="5">
        <f t="shared" ref="F51:F58" si="24">D51*E51</f>
        <v>0</v>
      </c>
      <c r="G51" s="5">
        <f t="shared" si="10"/>
        <v>0</v>
      </c>
      <c r="H51" s="5">
        <f t="shared" ref="H51:H58" si="25">D51*G51</f>
        <v>0</v>
      </c>
      <c r="I51" s="77">
        <v>0</v>
      </c>
      <c r="J51" s="6" t="e">
        <f t="shared" ref="J51:J58" si="26">(H51+I51)/F51-1</f>
        <v>#DIV/0!</v>
      </c>
      <c r="K51" s="6">
        <f t="shared" ref="K51:K58" si="27">H51/$H$61</f>
        <v>0</v>
      </c>
      <c r="L51" s="6">
        <f t="shared" si="13"/>
        <v>0</v>
      </c>
      <c r="M51" s="21">
        <f t="shared" ref="M51:M58" si="28">K51-L51</f>
        <v>0</v>
      </c>
      <c r="N51" s="20"/>
      <c r="O51" s="18"/>
    </row>
    <row r="52" spans="2:16" ht="15.5" hidden="1" outlineLevel="1" thickTop="1" thickBot="1" x14ac:dyDescent="0.4">
      <c r="B52" s="3" t="str">
        <f t="shared" ref="B52:C52" si="29">B19</f>
        <v>0</v>
      </c>
      <c r="C52" s="3">
        <f t="shared" si="29"/>
        <v>0</v>
      </c>
      <c r="D52" s="132">
        <f>IFERROR(VLOOKUP(B52,'Último rebalanceo'!$B$90:$K$124,10,0),0)</f>
        <v>0</v>
      </c>
      <c r="E52" s="69">
        <f>IFERROR(VLOOKUP(B52,'Último rebalanceo'!$B$90:$L$124,11,0),0)</f>
        <v>0</v>
      </c>
      <c r="F52" s="5">
        <f t="shared" si="24"/>
        <v>0</v>
      </c>
      <c r="G52" s="5">
        <f t="shared" si="10"/>
        <v>0</v>
      </c>
      <c r="H52" s="5">
        <f t="shared" si="25"/>
        <v>0</v>
      </c>
      <c r="I52" s="77">
        <v>0</v>
      </c>
      <c r="J52" s="6" t="e">
        <f t="shared" si="26"/>
        <v>#DIV/0!</v>
      </c>
      <c r="K52" s="6">
        <f t="shared" si="27"/>
        <v>0</v>
      </c>
      <c r="L52" s="6">
        <f t="shared" si="13"/>
        <v>0</v>
      </c>
      <c r="M52" s="21">
        <f t="shared" si="28"/>
        <v>0</v>
      </c>
      <c r="N52" s="20"/>
      <c r="O52" s="18"/>
    </row>
    <row r="53" spans="2:16" ht="15.5" hidden="1" outlineLevel="1" thickTop="1" thickBot="1" x14ac:dyDescent="0.4">
      <c r="B53" s="3" t="str">
        <f t="shared" ref="B53:C53" si="30">B20</f>
        <v>0</v>
      </c>
      <c r="C53" s="3">
        <f t="shared" si="30"/>
        <v>0</v>
      </c>
      <c r="D53" s="132">
        <f>IFERROR(VLOOKUP(B53,'Último rebalanceo'!$B$90:$K$124,10,0),0)</f>
        <v>0</v>
      </c>
      <c r="E53" s="69">
        <f>IFERROR(VLOOKUP(B53,'Último rebalanceo'!$B$90:$L$124,11,0),0)</f>
        <v>0</v>
      </c>
      <c r="F53" s="5">
        <f t="shared" si="24"/>
        <v>0</v>
      </c>
      <c r="G53" s="5">
        <f t="shared" si="10"/>
        <v>0</v>
      </c>
      <c r="H53" s="5">
        <f t="shared" si="25"/>
        <v>0</v>
      </c>
      <c r="I53" s="77">
        <v>0</v>
      </c>
      <c r="J53" s="6" t="e">
        <f t="shared" si="26"/>
        <v>#DIV/0!</v>
      </c>
      <c r="K53" s="6">
        <f t="shared" si="27"/>
        <v>0</v>
      </c>
      <c r="L53" s="6">
        <f t="shared" si="13"/>
        <v>0</v>
      </c>
      <c r="M53" s="21">
        <f t="shared" si="28"/>
        <v>0</v>
      </c>
      <c r="N53" s="20"/>
      <c r="O53" s="18"/>
    </row>
    <row r="54" spans="2:16" ht="15.5" hidden="1" outlineLevel="1" thickTop="1" thickBot="1" x14ac:dyDescent="0.4">
      <c r="B54" s="3" t="str">
        <f t="shared" ref="B54:C54" si="31">B21</f>
        <v>0</v>
      </c>
      <c r="C54" s="3">
        <f t="shared" si="31"/>
        <v>0</v>
      </c>
      <c r="D54" s="132">
        <f>IFERROR(VLOOKUP(B54,'Último rebalanceo'!$B$90:$K$124,10,0),0)</f>
        <v>0</v>
      </c>
      <c r="E54" s="69">
        <f>IFERROR(VLOOKUP(B54,'Último rebalanceo'!$B$90:$L$124,11,0),0)</f>
        <v>0</v>
      </c>
      <c r="F54" s="5">
        <f t="shared" si="24"/>
        <v>0</v>
      </c>
      <c r="G54" s="5">
        <f t="shared" si="10"/>
        <v>0</v>
      </c>
      <c r="H54" s="5">
        <f t="shared" si="25"/>
        <v>0</v>
      </c>
      <c r="I54" s="77">
        <v>0</v>
      </c>
      <c r="J54" s="6" t="e">
        <f t="shared" si="26"/>
        <v>#DIV/0!</v>
      </c>
      <c r="K54" s="6">
        <f t="shared" si="27"/>
        <v>0</v>
      </c>
      <c r="L54" s="6">
        <f t="shared" si="13"/>
        <v>0</v>
      </c>
      <c r="M54" s="21">
        <f t="shared" si="28"/>
        <v>0</v>
      </c>
      <c r="N54" s="20"/>
      <c r="O54" s="18"/>
    </row>
    <row r="55" spans="2:16" ht="15.5" hidden="1" outlineLevel="1" thickTop="1" thickBot="1" x14ac:dyDescent="0.4">
      <c r="B55" s="3" t="str">
        <f t="shared" ref="B55:C55" si="32">B22</f>
        <v>0</v>
      </c>
      <c r="C55" s="3">
        <f t="shared" si="32"/>
        <v>0</v>
      </c>
      <c r="D55" s="132">
        <f>IFERROR(VLOOKUP(B55,'Último rebalanceo'!$B$90:$K$124,10,0),0)</f>
        <v>0</v>
      </c>
      <c r="E55" s="69">
        <f>IFERROR(VLOOKUP(B55,'Último rebalanceo'!$B$90:$L$124,11,0),0)</f>
        <v>0</v>
      </c>
      <c r="F55" s="5">
        <f t="shared" si="24"/>
        <v>0</v>
      </c>
      <c r="G55" s="5">
        <f t="shared" si="10"/>
        <v>0</v>
      </c>
      <c r="H55" s="5">
        <f t="shared" si="25"/>
        <v>0</v>
      </c>
      <c r="I55" s="77">
        <v>0</v>
      </c>
      <c r="J55" s="6" t="e">
        <f t="shared" si="26"/>
        <v>#DIV/0!</v>
      </c>
      <c r="K55" s="6">
        <f t="shared" si="27"/>
        <v>0</v>
      </c>
      <c r="L55" s="6">
        <f t="shared" si="13"/>
        <v>0</v>
      </c>
      <c r="M55" s="21">
        <f t="shared" si="28"/>
        <v>0</v>
      </c>
      <c r="N55" s="20"/>
      <c r="O55" s="18"/>
    </row>
    <row r="56" spans="2:16" ht="15.5" hidden="1" outlineLevel="1" thickTop="1" thickBot="1" x14ac:dyDescent="0.4">
      <c r="B56" s="3" t="str">
        <f t="shared" ref="B56:C56" si="33">B23</f>
        <v>0</v>
      </c>
      <c r="C56" s="3">
        <f t="shared" si="33"/>
        <v>0</v>
      </c>
      <c r="D56" s="132">
        <f>IFERROR(VLOOKUP(B56,'Último rebalanceo'!$B$90:$K$124,10,0),0)</f>
        <v>0</v>
      </c>
      <c r="E56" s="69">
        <f>IFERROR(VLOOKUP(B56,'Último rebalanceo'!$B$90:$L$124,11,0),0)</f>
        <v>0</v>
      </c>
      <c r="F56" s="5">
        <f t="shared" si="24"/>
        <v>0</v>
      </c>
      <c r="G56" s="5">
        <f t="shared" si="10"/>
        <v>0</v>
      </c>
      <c r="H56" s="5">
        <f t="shared" si="25"/>
        <v>0</v>
      </c>
      <c r="I56" s="77">
        <v>0</v>
      </c>
      <c r="J56" s="6" t="e">
        <f t="shared" si="26"/>
        <v>#DIV/0!</v>
      </c>
      <c r="K56" s="6">
        <f t="shared" si="27"/>
        <v>0</v>
      </c>
      <c r="L56" s="6">
        <f t="shared" si="13"/>
        <v>0</v>
      </c>
      <c r="M56" s="21">
        <f t="shared" si="28"/>
        <v>0</v>
      </c>
      <c r="N56" s="20"/>
      <c r="O56" s="18"/>
    </row>
    <row r="57" spans="2:16" ht="15.5" hidden="1" outlineLevel="1" thickTop="1" thickBot="1" x14ac:dyDescent="0.4">
      <c r="B57" s="3" t="str">
        <f t="shared" ref="B57:C57" si="34">B24</f>
        <v>0</v>
      </c>
      <c r="C57" s="3">
        <f t="shared" si="34"/>
        <v>0</v>
      </c>
      <c r="D57" s="132">
        <f>IFERROR(VLOOKUP(B57,'Último rebalanceo'!$B$90:$K$124,10,0),0)</f>
        <v>0</v>
      </c>
      <c r="E57" s="69">
        <f>IFERROR(VLOOKUP(B57,'Último rebalanceo'!$B$90:$L$124,11,0),0)</f>
        <v>0</v>
      </c>
      <c r="F57" s="5">
        <f t="shared" si="24"/>
        <v>0</v>
      </c>
      <c r="G57" s="5">
        <f t="shared" si="10"/>
        <v>0</v>
      </c>
      <c r="H57" s="5">
        <f t="shared" si="25"/>
        <v>0</v>
      </c>
      <c r="I57" s="77">
        <v>0</v>
      </c>
      <c r="J57" s="6" t="e">
        <f t="shared" si="26"/>
        <v>#DIV/0!</v>
      </c>
      <c r="K57" s="6">
        <f t="shared" si="27"/>
        <v>0</v>
      </c>
      <c r="L57" s="6">
        <f t="shared" si="13"/>
        <v>0</v>
      </c>
      <c r="M57" s="21">
        <f t="shared" si="28"/>
        <v>0</v>
      </c>
      <c r="N57" s="20"/>
      <c r="O57" s="18"/>
    </row>
    <row r="58" spans="2:16" ht="15.5" hidden="1" outlineLevel="1" thickTop="1" thickBot="1" x14ac:dyDescent="0.4">
      <c r="B58" s="3" t="str">
        <f t="shared" ref="B58:C58" si="35">B25</f>
        <v>0</v>
      </c>
      <c r="C58" s="3">
        <f t="shared" si="35"/>
        <v>0</v>
      </c>
      <c r="D58" s="132">
        <f>IFERROR(VLOOKUP(B58,'Último rebalanceo'!$B$90:$K$124,10,0),0)</f>
        <v>0</v>
      </c>
      <c r="E58" s="69">
        <f>IFERROR(VLOOKUP(B58,'Último rebalanceo'!$B$90:$L$124,11,0),0)</f>
        <v>0</v>
      </c>
      <c r="F58" s="5">
        <f t="shared" si="24"/>
        <v>0</v>
      </c>
      <c r="G58" s="5">
        <f t="shared" si="10"/>
        <v>0</v>
      </c>
      <c r="H58" s="5">
        <f t="shared" si="25"/>
        <v>0</v>
      </c>
      <c r="I58" s="77">
        <v>0</v>
      </c>
      <c r="J58" s="6" t="e">
        <f t="shared" si="26"/>
        <v>#DIV/0!</v>
      </c>
      <c r="K58" s="6">
        <f t="shared" si="27"/>
        <v>0</v>
      </c>
      <c r="L58" s="6">
        <f t="shared" si="13"/>
        <v>0</v>
      </c>
      <c r="M58" s="21">
        <f t="shared" si="28"/>
        <v>0</v>
      </c>
      <c r="N58" s="20"/>
      <c r="O58" s="18"/>
    </row>
    <row r="59" spans="2:16" ht="15.5" hidden="1" outlineLevel="1" thickTop="1" thickBot="1" x14ac:dyDescent="0.4">
      <c r="B59" s="3" t="s">
        <v>7</v>
      </c>
      <c r="C59" s="3"/>
      <c r="D59" s="69">
        <f>'Último rebalanceo'!K125</f>
        <v>106.79399681091309</v>
      </c>
      <c r="E59" s="69"/>
      <c r="F59" s="5"/>
      <c r="G59" s="5"/>
      <c r="H59" s="5">
        <f>D59</f>
        <v>106.79399681091309</v>
      </c>
      <c r="I59" s="5"/>
      <c r="J59" s="6"/>
      <c r="K59" s="6">
        <f>H59/$H$61</f>
        <v>3.5542300010519227E-3</v>
      </c>
      <c r="L59" s="6">
        <f>K26</f>
        <v>4.6439098131642797E-3</v>
      </c>
      <c r="M59" s="21">
        <f t="shared" si="16"/>
        <v>-1.089679812112357E-3</v>
      </c>
      <c r="N59" s="20"/>
      <c r="O59" s="18"/>
    </row>
    <row r="60" spans="2:16" ht="15.5" hidden="1" customHeight="1" outlineLevel="1" thickTop="1" thickBot="1" x14ac:dyDescent="0.4">
      <c r="M60" s="22"/>
      <c r="N60" s="20"/>
      <c r="O60" s="18"/>
    </row>
    <row r="61" spans="2:16" ht="15.5" hidden="1" outlineLevel="1" thickTop="1" thickBot="1" x14ac:dyDescent="0.4">
      <c r="B61" s="9" t="s">
        <v>10</v>
      </c>
      <c r="C61" s="9"/>
      <c r="D61" s="9"/>
      <c r="E61" s="9"/>
      <c r="F61" s="10"/>
      <c r="G61" s="10"/>
      <c r="H61" s="10">
        <f>SUM(H39:H59)</f>
        <v>30047.013496398926</v>
      </c>
      <c r="I61" s="10">
        <f>SUM(I39:I59)</f>
        <v>0</v>
      </c>
      <c r="J61" s="13">
        <f>H61/(D32+D33)-1</f>
        <v>1.0031342330932618</v>
      </c>
      <c r="K61" s="11">
        <f>SUM(K39:K59)</f>
        <v>0.99999999999999989</v>
      </c>
      <c r="L61" s="11">
        <f>SUM(L39:L59)</f>
        <v>0.99999999999999978</v>
      </c>
      <c r="M61" s="12">
        <f t="array" ref="M61">SUM(ABS(M39:M59))</f>
        <v>4.9796601325648006E-3</v>
      </c>
      <c r="N61" s="24" t="str">
        <f>IF(M61&lt;0.1,"Excelente",IF(AND(M61&lt;=0.2,M61&gt;=0.1),"Buena",IF(AND(M61&lt;=0.35,M61&gt;0.2),"Regular","Mala")))</f>
        <v>Excelente</v>
      </c>
      <c r="O61" s="18"/>
    </row>
    <row r="62" spans="2:16" ht="23.5" hidden="1" customHeight="1" outlineLevel="1" thickTop="1" thickBot="1" x14ac:dyDescent="0.4">
      <c r="M62" s="143" t="s">
        <v>13</v>
      </c>
      <c r="N62" s="144"/>
      <c r="O62" s="18"/>
    </row>
    <row r="63" spans="2:16" ht="15" hidden="1" outlineLevel="1" thickTop="1" x14ac:dyDescent="0.35">
      <c r="F63" s="26"/>
      <c r="H63" s="26"/>
      <c r="P63" s="8"/>
    </row>
    <row r="64" spans="2:16" collapsed="1" x14ac:dyDescent="0.35">
      <c r="P64" s="18"/>
    </row>
    <row r="65" spans="2:15" ht="17" x14ac:dyDescent="0.45">
      <c r="B65" s="148" t="s">
        <v>27</v>
      </c>
      <c r="C65" s="148"/>
      <c r="H65" s="104"/>
    </row>
    <row r="66" spans="2:15" ht="15" hidden="1" outlineLevel="1" x14ac:dyDescent="0.4">
      <c r="B66" s="150" t="s">
        <v>12</v>
      </c>
      <c r="C66" s="150"/>
      <c r="D66" s="78">
        <v>20000</v>
      </c>
      <c r="E66" s="15"/>
      <c r="G66" s="104"/>
    </row>
    <row r="67" spans="2:15" ht="15" hidden="1" outlineLevel="1" x14ac:dyDescent="0.4">
      <c r="B67" s="146" t="s">
        <v>14</v>
      </c>
      <c r="C67" s="146"/>
      <c r="D67" s="146"/>
      <c r="E67" s="146"/>
      <c r="F67" s="146"/>
      <c r="G67" s="146"/>
      <c r="H67" s="146"/>
      <c r="I67" s="146"/>
      <c r="J67" s="146"/>
      <c r="K67" s="146"/>
    </row>
    <row r="68" spans="2:15" ht="15" hidden="1" outlineLevel="1" x14ac:dyDescent="0.4">
      <c r="B68" s="25"/>
      <c r="C68" s="25"/>
      <c r="D68" s="25"/>
      <c r="E68" s="25"/>
      <c r="F68" s="25"/>
      <c r="G68" s="25"/>
      <c r="H68" s="25"/>
      <c r="I68" s="25"/>
      <c r="J68" s="25"/>
    </row>
    <row r="69" spans="2:15" ht="16.5" hidden="1" outlineLevel="1" thickBot="1" x14ac:dyDescent="0.5">
      <c r="B69" s="149" t="s">
        <v>11</v>
      </c>
      <c r="C69" s="149"/>
    </row>
    <row r="70" spans="2:15" ht="36" hidden="1" outlineLevel="1" thickTop="1" thickBot="1" x14ac:dyDescent="0.4">
      <c r="B70" s="16" t="s">
        <v>1</v>
      </c>
      <c r="C70" s="16" t="s">
        <v>2</v>
      </c>
      <c r="D70" s="16" t="s">
        <v>3</v>
      </c>
      <c r="E70" s="17" t="s">
        <v>8</v>
      </c>
      <c r="F70" s="16" t="s">
        <v>4</v>
      </c>
      <c r="G70" s="17" t="s">
        <v>15</v>
      </c>
      <c r="H70" s="16" t="s">
        <v>9</v>
      </c>
      <c r="I70" s="17" t="s">
        <v>5</v>
      </c>
      <c r="J70" s="2" t="s">
        <v>6</v>
      </c>
      <c r="K70" s="71" t="s">
        <v>26</v>
      </c>
      <c r="L70" s="20"/>
      <c r="M70" s="20"/>
      <c r="N70" s="20"/>
      <c r="O70" s="20"/>
    </row>
    <row r="71" spans="2:15" ht="15.5" hidden="1" outlineLevel="1" thickTop="1" thickBot="1" x14ac:dyDescent="0.4">
      <c r="B71" s="3" t="str">
        <f t="shared" ref="B71:C75" si="36">B6</f>
        <v>ALSEA</v>
      </c>
      <c r="C71" s="3" t="str">
        <f t="shared" si="36"/>
        <v>Alsea SA</v>
      </c>
      <c r="D71" s="3">
        <f t="array" ref="D71">IF(SUMPRODUCT(ROUND($K$6:$K$17*$D$66/$E$71:$E$82,0),$E$71:$E$82)&gt;$D$66,ROUND($D$66*($D$66/SUMPRODUCT(ROUND($K$6:$K$17*$D$66/$E$71:$E$82,0),$E$71:$E$82))*K6/E71,0),ROUND($D$66*K6/E71,0))</f>
        <v>30</v>
      </c>
      <c r="E71" s="77">
        <f t="shared" ref="E71:E90" si="37">G6</f>
        <v>43.970001220703125</v>
      </c>
      <c r="F71" s="5">
        <f t="shared" ref="F71:F82" si="38">IFERROR(D71*E71,0)</f>
        <v>1319.1000366210938</v>
      </c>
      <c r="G71" s="5">
        <f t="shared" ref="G71:G90" si="39">G6</f>
        <v>43.970001220703125</v>
      </c>
      <c r="H71" s="4">
        <f t="shared" ref="H71:H82" si="40">IFERROR(D71*G71,0)</f>
        <v>1319.1000366210938</v>
      </c>
      <c r="I71" s="6">
        <f t="shared" ref="I71:I80" si="41">H71/$H$93</f>
        <v>6.5955001831054683E-2</v>
      </c>
      <c r="J71" s="6">
        <f t="shared" ref="J71:J90" si="42">K6</f>
        <v>6.6767941821146898E-2</v>
      </c>
      <c r="K71" s="21">
        <f>I71-J71</f>
        <v>-8.1293999009221518E-4</v>
      </c>
      <c r="L71" s="20"/>
      <c r="M71" s="20"/>
      <c r="N71" s="20"/>
      <c r="O71" s="20"/>
    </row>
    <row r="72" spans="2:15" ht="15.5" hidden="1" outlineLevel="1" thickTop="1" thickBot="1" x14ac:dyDescent="0.4">
      <c r="B72" s="3" t="str">
        <f t="shared" si="36"/>
        <v>LIVEPOLC-1</v>
      </c>
      <c r="C72" s="3" t="str">
        <f t="shared" si="36"/>
        <v>El Puerto de Liverpool SAB de CV</v>
      </c>
      <c r="D72" s="3">
        <f t="array" ref="D72">IF(SUMPRODUCT(ROUND($K$6:$K$17*$D$66/$E$71:$E$82,0),$E$71:$E$82)&gt;$D$66,ROUND($D$66*($D$66/SUMPRODUCT(ROUND($K$6:$K$17*$D$66/$E$71:$E$82,0),$E$71:$E$82))*K7/E72,0),ROUND($D$66*K7/E72,0))</f>
        <v>15</v>
      </c>
      <c r="E72" s="77">
        <f t="shared" si="37"/>
        <v>90.30999755859375</v>
      </c>
      <c r="F72" s="5">
        <f t="shared" si="38"/>
        <v>1354.6499633789063</v>
      </c>
      <c r="G72" s="5">
        <f t="shared" si="39"/>
        <v>90.30999755859375</v>
      </c>
      <c r="H72" s="4">
        <f t="shared" si="40"/>
        <v>1354.6499633789063</v>
      </c>
      <c r="I72" s="6">
        <f t="shared" si="41"/>
        <v>6.7732498168945318E-2</v>
      </c>
      <c r="J72" s="6">
        <f t="shared" si="42"/>
        <v>6.6489548609141011E-2</v>
      </c>
      <c r="K72" s="21">
        <f t="shared" ref="K72:K91" si="43">I72-J72</f>
        <v>1.2429495598043072E-3</v>
      </c>
      <c r="L72" s="20"/>
      <c r="M72" s="20"/>
      <c r="N72" s="20"/>
      <c r="O72" s="20"/>
    </row>
    <row r="73" spans="2:15" ht="15.5" hidden="1" outlineLevel="1" thickTop="1" thickBot="1" x14ac:dyDescent="0.4">
      <c r="B73" s="3" t="str">
        <f t="shared" si="36"/>
        <v>PE&amp;OLES</v>
      </c>
      <c r="C73" s="3" t="str">
        <f t="shared" si="36"/>
        <v>Industrias Penoles</v>
      </c>
      <c r="D73" s="3">
        <f t="array" ref="D73">IF(SUMPRODUCT(ROUND($K$6:$K$17*$D$66/$E$71:$E$82,0),$E$71:$E$82)&gt;$D$66,ROUND($D$66*($D$66/SUMPRODUCT(ROUND($K$6:$K$17*$D$66/$E$71:$E$82,0),$E$71:$E$82))*K8/E73,0),ROUND($D$66*K8/E73,0))</f>
        <v>6</v>
      </c>
      <c r="E73" s="77">
        <f t="shared" si="37"/>
        <v>392.989990234375</v>
      </c>
      <c r="F73" s="5">
        <f t="shared" si="38"/>
        <v>2357.93994140625</v>
      </c>
      <c r="G73" s="5">
        <f t="shared" si="39"/>
        <v>392.989990234375</v>
      </c>
      <c r="H73" s="4">
        <f t="shared" si="40"/>
        <v>2357.93994140625</v>
      </c>
      <c r="I73" s="6">
        <f t="shared" si="41"/>
        <v>0.1178969970703125</v>
      </c>
      <c r="J73" s="6">
        <f t="shared" si="42"/>
        <v>0.11754182155377349</v>
      </c>
      <c r="K73" s="21">
        <f t="shared" si="43"/>
        <v>3.5517551653900525E-4</v>
      </c>
      <c r="L73" s="20"/>
      <c r="M73" s="20"/>
      <c r="N73" s="20"/>
      <c r="O73" s="20"/>
    </row>
    <row r="74" spans="2:15" ht="15.5" hidden="1" outlineLevel="1" thickTop="1" thickBot="1" x14ac:dyDescent="0.4">
      <c r="B74" s="3" t="str">
        <f t="shared" si="36"/>
        <v>CUERVO</v>
      </c>
      <c r="C74" s="3" t="str">
        <f t="shared" si="36"/>
        <v>Becle, S.A. De C.V.</v>
      </c>
      <c r="D74" s="3">
        <f t="array" ref="D74">IF(SUMPRODUCT(ROUND($K$6:$K$17*$D$66/$E$71:$E$82,0),$E$71:$E$82)&gt;$D$66,ROUND($D$66*($D$66/SUMPRODUCT(ROUND($K$6:$K$17*$D$66/$E$71:$E$82,0),$E$71:$E$82))*K9/E74,0),ROUND($D$66*K9/E74,0))</f>
        <v>59</v>
      </c>
      <c r="E74" s="77">
        <f t="shared" si="37"/>
        <v>22.670000076293945</v>
      </c>
      <c r="F74" s="5">
        <f t="shared" si="38"/>
        <v>1337.5300045013428</v>
      </c>
      <c r="G74" s="5">
        <f t="shared" si="39"/>
        <v>22.670000076293945</v>
      </c>
      <c r="H74" s="4">
        <f t="shared" si="40"/>
        <v>1337.5300045013428</v>
      </c>
      <c r="I74" s="6">
        <f t="shared" si="41"/>
        <v>6.6876500225067137E-2</v>
      </c>
      <c r="J74" s="6">
        <f t="shared" si="42"/>
        <v>6.6761958267755175E-2</v>
      </c>
      <c r="K74" s="21">
        <f t="shared" si="43"/>
        <v>1.145419573119616E-4</v>
      </c>
      <c r="L74" s="20"/>
      <c r="M74" s="20"/>
      <c r="N74" s="20"/>
      <c r="O74" s="20"/>
    </row>
    <row r="75" spans="2:15" ht="15.5" hidden="1" outlineLevel="1" thickTop="1" thickBot="1" x14ac:dyDescent="0.4">
      <c r="B75" s="3" t="str">
        <f t="shared" si="36"/>
        <v>Q</v>
      </c>
      <c r="C75" s="3" t="str">
        <f t="shared" si="36"/>
        <v>Qualitas Controladora S.A.B de C.V.</v>
      </c>
      <c r="D75" s="3">
        <f t="array" ref="D75">IF(SUMPRODUCT(ROUND($K$6:$K$17*$D$66/$E$71:$E$82,0),$E$71:$E$82)&gt;$D$66,ROUND($D$66*($D$66/SUMPRODUCT(ROUND($K$6:$K$17*$D$66/$E$71:$E$82,0),$E$71:$E$82))*K10/E75,0),ROUND($D$66*K10/E75,0))</f>
        <v>6</v>
      </c>
      <c r="E75" s="77">
        <f t="shared" si="37"/>
        <v>216.94999694824219</v>
      </c>
      <c r="F75" s="5">
        <f t="shared" si="38"/>
        <v>1301.6999816894531</v>
      </c>
      <c r="G75" s="5">
        <f t="shared" si="39"/>
        <v>216.94999694824219</v>
      </c>
      <c r="H75" s="4">
        <f t="shared" si="40"/>
        <v>1301.6999816894531</v>
      </c>
      <c r="I75" s="6">
        <f t="shared" si="41"/>
        <v>6.5084999084472656E-2</v>
      </c>
      <c r="J75" s="6">
        <f t="shared" si="42"/>
        <v>6.4888924555492236E-2</v>
      </c>
      <c r="K75" s="21">
        <f t="shared" si="43"/>
        <v>1.9607452898041944E-4</v>
      </c>
      <c r="L75" s="20"/>
      <c r="M75" s="20"/>
      <c r="N75" s="20"/>
      <c r="O75" s="20"/>
    </row>
    <row r="76" spans="2:15" ht="15.5" hidden="1" outlineLevel="1" thickTop="1" thickBot="1" x14ac:dyDescent="0.4">
      <c r="B76" s="3" t="str">
        <f t="shared" ref="B76:C82" si="44">B11</f>
        <v>BOLSAA</v>
      </c>
      <c r="C76" s="3" t="str">
        <f t="shared" si="44"/>
        <v>Bolsa Mexicana de Valores SA de CV</v>
      </c>
      <c r="D76" s="3">
        <f t="array" ref="D76">IF(SUMPRODUCT(ROUND($K$6:$K$17*$D$66/$E$71:$E$82,0),$E$71:$E$82)&gt;$D$66,ROUND($D$66*($D$66/SUMPRODUCT(ROUND($K$6:$K$17*$D$66/$E$71:$E$82,0),$E$71:$E$82))*K11/E76,0),ROUND($D$66*K11/E76,0))</f>
        <v>57</v>
      </c>
      <c r="E76" s="77">
        <f t="shared" si="37"/>
        <v>41.319999694824219</v>
      </c>
      <c r="F76" s="5">
        <f t="shared" si="38"/>
        <v>2355.2399826049805</v>
      </c>
      <c r="G76" s="5">
        <f t="shared" si="39"/>
        <v>41.319999694824219</v>
      </c>
      <c r="H76" s="4">
        <f t="shared" si="40"/>
        <v>2355.2399826049805</v>
      </c>
      <c r="I76" s="6">
        <f t="shared" si="41"/>
        <v>0.11776199913024903</v>
      </c>
      <c r="J76" s="6">
        <f t="shared" si="42"/>
        <v>0.1169318973911615</v>
      </c>
      <c r="K76" s="21">
        <f t="shared" si="43"/>
        <v>8.3010173908752705E-4</v>
      </c>
      <c r="L76" s="20"/>
      <c r="M76" s="20"/>
      <c r="N76" s="20"/>
      <c r="O76" s="20"/>
    </row>
    <row r="77" spans="2:15" ht="15.5" hidden="1" outlineLevel="1" thickTop="1" thickBot="1" x14ac:dyDescent="0.4">
      <c r="B77" s="3" t="str">
        <f t="shared" si="44"/>
        <v>GENTERA</v>
      </c>
      <c r="C77" s="3" t="str">
        <f t="shared" si="44"/>
        <v>Gentera SAB de CV</v>
      </c>
      <c r="D77" s="3">
        <f t="array" ref="D77">IF(SUMPRODUCT(ROUND($K$6:$K$17*$D$66/$E$71:$E$82,0),$E$71:$E$82)&gt;$D$66,ROUND($D$66*($D$66/SUMPRODUCT(ROUND($K$6:$K$17*$D$66/$E$71:$E$82,0),$E$71:$E$82))*K12/E77,0),ROUND($D$66*K12/E77,0))</f>
        <v>68</v>
      </c>
      <c r="E77" s="77">
        <f t="shared" si="37"/>
        <v>34.189998626708984</v>
      </c>
      <c r="F77" s="5">
        <f t="shared" si="38"/>
        <v>2324.9199066162109</v>
      </c>
      <c r="G77" s="5">
        <f t="shared" si="39"/>
        <v>34.189998626708984</v>
      </c>
      <c r="H77" s="4">
        <f t="shared" si="40"/>
        <v>2324.9199066162109</v>
      </c>
      <c r="I77" s="6">
        <f t="shared" si="41"/>
        <v>0.11624599533081055</v>
      </c>
      <c r="J77" s="6">
        <f t="shared" si="42"/>
        <v>0.11642020896412686</v>
      </c>
      <c r="K77" s="21">
        <f t="shared" si="43"/>
        <v>-1.7421363331630857E-4</v>
      </c>
      <c r="L77" s="20"/>
      <c r="M77" s="20"/>
      <c r="N77" s="20"/>
      <c r="O77" s="20"/>
    </row>
    <row r="78" spans="2:15" ht="15.5" hidden="1" outlineLevel="1" thickTop="1" thickBot="1" x14ac:dyDescent="0.4">
      <c r="B78" s="3" t="str">
        <f t="shared" si="44"/>
        <v>GFNORTEO</v>
      </c>
      <c r="C78" s="3" t="str">
        <f t="shared" si="44"/>
        <v>Grupo Financiero Banorte O</v>
      </c>
      <c r="D78" s="3">
        <f t="array" ref="D78">IF(SUMPRODUCT(ROUND($K$6:$K$17*$D$66/$E$71:$E$82,0),$E$71:$E$82)&gt;$D$66,ROUND($D$66*($D$66/SUMPRODUCT(ROUND($K$6:$K$17*$D$66/$E$71:$E$82,0),$E$71:$E$82))*K13/E78,0),ROUND($D$66*K13/E78,0))</f>
        <v>8</v>
      </c>
      <c r="E78" s="77">
        <f t="shared" si="37"/>
        <v>168.14999389648438</v>
      </c>
      <c r="F78" s="5">
        <f t="shared" si="38"/>
        <v>1345.199951171875</v>
      </c>
      <c r="G78" s="5">
        <f t="shared" si="39"/>
        <v>168.14999389648438</v>
      </c>
      <c r="H78" s="4">
        <f t="shared" si="40"/>
        <v>1345.199951171875</v>
      </c>
      <c r="I78" s="6">
        <f t="shared" si="41"/>
        <v>6.7259997558593757E-2</v>
      </c>
      <c r="J78" s="6">
        <f t="shared" si="42"/>
        <v>6.576780582709206E-2</v>
      </c>
      <c r="K78" s="21">
        <f t="shared" si="43"/>
        <v>1.4921917315016964E-3</v>
      </c>
      <c r="L78" s="20"/>
      <c r="M78" s="20"/>
      <c r="N78" s="20"/>
      <c r="O78" s="20"/>
    </row>
    <row r="79" spans="2:15" ht="15.5" hidden="1" outlineLevel="1" thickTop="1" thickBot="1" x14ac:dyDescent="0.4">
      <c r="B79" s="3" t="str">
        <f t="shared" si="44"/>
        <v>MEGACPO</v>
      </c>
      <c r="C79" s="3" t="str">
        <f t="shared" si="44"/>
        <v>Megacable Holdings SAB de CV</v>
      </c>
      <c r="D79" s="3">
        <f t="array" ref="D79">IF(SUMPRODUCT(ROUND($K$6:$K$17*$D$66/$E$71:$E$82,0),$E$71:$E$82)&gt;$D$66,ROUND($D$66*($D$66/SUMPRODUCT(ROUND($K$6:$K$17*$D$66/$E$71:$E$82,0),$E$71:$E$82))*K14/E79,0),ROUND($D$66*K14/E79,0))</f>
        <v>28</v>
      </c>
      <c r="E79" s="77">
        <f t="shared" si="37"/>
        <v>47.700000762939453</v>
      </c>
      <c r="F79" s="5">
        <f t="shared" si="38"/>
        <v>1335.6000213623047</v>
      </c>
      <c r="G79" s="5">
        <f t="shared" si="39"/>
        <v>47.700000762939453</v>
      </c>
      <c r="H79" s="4">
        <f t="shared" si="40"/>
        <v>1335.6000213623047</v>
      </c>
      <c r="I79" s="6">
        <f t="shared" si="41"/>
        <v>6.6780001068115241E-2</v>
      </c>
      <c r="J79" s="6">
        <f t="shared" si="42"/>
        <v>6.6944637883555577E-2</v>
      </c>
      <c r="K79" s="21">
        <f t="shared" si="43"/>
        <v>-1.6463681544033604E-4</v>
      </c>
      <c r="L79" s="20"/>
      <c r="M79" s="20"/>
      <c r="N79" s="20"/>
      <c r="O79" s="20"/>
    </row>
    <row r="80" spans="2:15" ht="15.5" hidden="1" outlineLevel="1" thickTop="1" thickBot="1" x14ac:dyDescent="0.4">
      <c r="B80" s="3" t="str">
        <f t="shared" si="44"/>
        <v>OMAB</v>
      </c>
      <c r="C80" s="3" t="str">
        <f t="shared" si="44"/>
        <v>Grupo Aeroportuario del Centro Norte, S.A.B. de C.V.</v>
      </c>
      <c r="D80" s="3">
        <f t="array" ref="D80">IF(SUMPRODUCT(ROUND($K$6:$K$17*$D$66/$E$71:$E$82,0),$E$71:$E$82)&gt;$D$66,ROUND($D$66*($D$66/SUMPRODUCT(ROUND($K$6:$K$17*$D$66/$E$71:$E$82,0),$E$71:$E$82))*K15/E80,0),ROUND($D$66*K15/E80,0))</f>
        <v>6</v>
      </c>
      <c r="E80" s="77">
        <f t="shared" si="37"/>
        <v>215.78999328613281</v>
      </c>
      <c r="F80" s="5">
        <f t="shared" si="38"/>
        <v>1294.7399597167969</v>
      </c>
      <c r="G80" s="5">
        <f t="shared" si="39"/>
        <v>215.78999328613281</v>
      </c>
      <c r="H80" s="4">
        <f t="shared" si="40"/>
        <v>1294.7399597167969</v>
      </c>
      <c r="I80" s="6">
        <f t="shared" si="41"/>
        <v>6.4736997985839845E-2</v>
      </c>
      <c r="J80" s="6">
        <f t="shared" si="42"/>
        <v>6.4541971842085794E-2</v>
      </c>
      <c r="K80" s="21">
        <f t="shared" si="43"/>
        <v>1.9502614375405125E-4</v>
      </c>
      <c r="L80" s="20"/>
      <c r="M80" s="20"/>
      <c r="N80" s="20"/>
      <c r="O80" s="20"/>
    </row>
    <row r="81" spans="2:15" ht="15.5" hidden="1" outlineLevel="1" thickTop="1" thickBot="1" x14ac:dyDescent="0.4">
      <c r="B81" s="3" t="str">
        <f t="shared" si="44"/>
        <v>ORBIA</v>
      </c>
      <c r="C81" s="3" t="str">
        <f t="shared" si="44"/>
        <v>ORBIA ADVANCE CORPORATION SAB de CV</v>
      </c>
      <c r="D81" s="3">
        <f t="array" ref="D81">IF(SUMPRODUCT(ROUND($K$6:$K$17*$D$66/$E$71:$E$82,0),$E$71:$E$82)&gt;$D$66,ROUND($D$66*($D$66/SUMPRODUCT(ROUND($K$6:$K$17*$D$66/$E$71:$E$82,0),$E$71:$E$82))*K16/E81,0),ROUND($D$66*K16/E81,0))</f>
        <v>176</v>
      </c>
      <c r="E81" s="77">
        <f t="shared" si="37"/>
        <v>13.239999771118164</v>
      </c>
      <c r="F81" s="5">
        <f t="shared" si="38"/>
        <v>2330.2399597167969</v>
      </c>
      <c r="G81" s="5">
        <f t="shared" si="39"/>
        <v>13.239999771118164</v>
      </c>
      <c r="H81" s="4">
        <f t="shared" si="40"/>
        <v>2330.2399597167969</v>
      </c>
      <c r="I81" s="6">
        <f t="shared" ref="I81:I82" si="45">H81/$H$93</f>
        <v>0.11651199798583985</v>
      </c>
      <c r="J81" s="6">
        <f t="shared" si="42"/>
        <v>0.11666869156212531</v>
      </c>
      <c r="K81" s="21">
        <f t="shared" ref="K81:K82" si="46">I81-J81</f>
        <v>-1.5669357628546321E-4</v>
      </c>
      <c r="L81" s="20"/>
      <c r="M81" s="20"/>
      <c r="N81" s="20"/>
      <c r="O81" s="20"/>
    </row>
    <row r="82" spans="2:15" ht="15.5" hidden="1" outlineLevel="1" thickTop="1" thickBot="1" x14ac:dyDescent="0.4">
      <c r="B82" s="3" t="str">
        <f t="shared" si="44"/>
        <v>PINFRA</v>
      </c>
      <c r="C82" s="3" t="str">
        <f t="shared" si="44"/>
        <v>Promotora y Operadora de Infraestructura SAB de CV</v>
      </c>
      <c r="D82" s="3">
        <f t="array" ref="D82">IF(SUMPRODUCT(ROUND($K$6:$K$17*$D$66/$E$71:$E$82,0),$E$71:$E$82)&gt;$D$66,ROUND($D$66*($D$66/SUMPRODUCT(ROUND($K$6:$K$17*$D$66/$E$71:$E$82,0),$E$71:$E$82))*K17/E82,0),ROUND($D$66*K17/E82,0))</f>
        <v>6</v>
      </c>
      <c r="E82" s="77">
        <f t="shared" si="37"/>
        <v>219.42999267578125</v>
      </c>
      <c r="F82" s="5">
        <f t="shared" si="38"/>
        <v>1316.5799560546875</v>
      </c>
      <c r="G82" s="5">
        <f t="shared" si="39"/>
        <v>219.42999267578125</v>
      </c>
      <c r="H82" s="4">
        <f t="shared" si="40"/>
        <v>1316.5799560546875</v>
      </c>
      <c r="I82" s="6">
        <f t="shared" si="45"/>
        <v>6.5828997802734379E-2</v>
      </c>
      <c r="J82" s="6">
        <f t="shared" si="42"/>
        <v>6.5630681909379707E-2</v>
      </c>
      <c r="K82" s="21">
        <f t="shared" si="46"/>
        <v>1.9831589335467248E-4</v>
      </c>
      <c r="L82" s="20"/>
      <c r="M82" s="20"/>
      <c r="N82" s="20"/>
      <c r="O82" s="20"/>
    </row>
    <row r="83" spans="2:15" ht="15.5" hidden="1" outlineLevel="1" thickTop="1" thickBot="1" x14ac:dyDescent="0.4">
      <c r="B83" s="3" t="str">
        <f t="shared" ref="B83:C83" si="47">B18</f>
        <v>0</v>
      </c>
      <c r="C83" s="3">
        <f t="shared" si="47"/>
        <v>0</v>
      </c>
      <c r="D83" s="3" t="e">
        <f t="array" ref="D83">IF(SUMPRODUCT(ROUND($K$6:$K$17*$D$66/$E$71:$E$82,0),$E$71:$E$82)&gt;$D$66,ROUND($D$66*($D$66/SUMPRODUCT(ROUND($K$6:$K$17*$D$66/$E$71:$E$82,0),$E$71:$E$82))*K18/E83,0),ROUND($D$66*K18/E83,0))</f>
        <v>#DIV/0!</v>
      </c>
      <c r="E83" s="77">
        <f t="shared" si="37"/>
        <v>0</v>
      </c>
      <c r="F83" s="5">
        <f>IFERROR(D83*E83,0)</f>
        <v>0</v>
      </c>
      <c r="G83" s="5">
        <f t="shared" si="39"/>
        <v>0</v>
      </c>
      <c r="H83" s="4">
        <f>IFERROR(D83*G83,0)</f>
        <v>0</v>
      </c>
      <c r="I83" s="6">
        <f t="shared" ref="I83:I90" si="48">H83/$H$93</f>
        <v>0</v>
      </c>
      <c r="J83" s="6">
        <f t="shared" si="42"/>
        <v>0</v>
      </c>
      <c r="K83" s="21">
        <f t="shared" ref="K83:K90" si="49">I83-J83</f>
        <v>0</v>
      </c>
      <c r="L83" s="20"/>
      <c r="M83" s="20"/>
      <c r="N83" s="20"/>
      <c r="O83" s="20"/>
    </row>
    <row r="84" spans="2:15" ht="15.5" hidden="1" outlineLevel="1" thickTop="1" thickBot="1" x14ac:dyDescent="0.4">
      <c r="B84" s="3" t="str">
        <f t="shared" ref="B84:C84" si="50">B19</f>
        <v>0</v>
      </c>
      <c r="C84" s="3">
        <f t="shared" si="50"/>
        <v>0</v>
      </c>
      <c r="D84" s="3" t="e">
        <f t="array" ref="D84">IF(SUMPRODUCT(ROUND($K$6:$K$17*$D$66/$E$71:$E$82,0),$E$71:$E$82)&gt;$D$66,ROUND($D$66*($D$66/SUMPRODUCT(ROUND($K$6:$K$17*$D$66/$E$71:$E$82,0),$E$71:$E$82))*K19/E84,0),ROUND($D$66*K19/E84,0))</f>
        <v>#DIV/0!</v>
      </c>
      <c r="E84" s="77">
        <f t="shared" si="37"/>
        <v>0</v>
      </c>
      <c r="F84" s="5">
        <f t="shared" ref="F84:F90" si="51">IFERROR(D84*E84,0)</f>
        <v>0</v>
      </c>
      <c r="G84" s="5">
        <f t="shared" si="39"/>
        <v>0</v>
      </c>
      <c r="H84" s="4">
        <f t="shared" ref="H84:H90" si="52">IFERROR(D84*G84,0)</f>
        <v>0</v>
      </c>
      <c r="I84" s="6">
        <f t="shared" si="48"/>
        <v>0</v>
      </c>
      <c r="J84" s="6">
        <f t="shared" si="42"/>
        <v>0</v>
      </c>
      <c r="K84" s="21">
        <f t="shared" si="49"/>
        <v>0</v>
      </c>
      <c r="L84" s="20"/>
      <c r="M84" s="20"/>
      <c r="N84" s="20"/>
      <c r="O84" s="20"/>
    </row>
    <row r="85" spans="2:15" ht="15.5" hidden="1" outlineLevel="1" thickTop="1" thickBot="1" x14ac:dyDescent="0.4">
      <c r="B85" s="3" t="str">
        <f t="shared" ref="B85:C85" si="53">B20</f>
        <v>0</v>
      </c>
      <c r="C85" s="3">
        <f t="shared" si="53"/>
        <v>0</v>
      </c>
      <c r="D85" s="3" t="e">
        <f t="array" ref="D85">IF(SUMPRODUCT(ROUND($K$6:$K$17*$D$66/$E$71:$E$82,0),$E$71:$E$82)&gt;$D$66,ROUND($D$66*($D$66/SUMPRODUCT(ROUND($K$6:$K$17*$D$66/$E$71:$E$82,0),$E$71:$E$82))*K20/E85,0),ROUND($D$66*K20/E85,0))</f>
        <v>#DIV/0!</v>
      </c>
      <c r="E85" s="77">
        <f t="shared" si="37"/>
        <v>0</v>
      </c>
      <c r="F85" s="5">
        <f t="shared" si="51"/>
        <v>0</v>
      </c>
      <c r="G85" s="5">
        <f t="shared" si="39"/>
        <v>0</v>
      </c>
      <c r="H85" s="4">
        <f t="shared" si="52"/>
        <v>0</v>
      </c>
      <c r="I85" s="6">
        <f t="shared" si="48"/>
        <v>0</v>
      </c>
      <c r="J85" s="6">
        <f t="shared" si="42"/>
        <v>0</v>
      </c>
      <c r="K85" s="21">
        <f t="shared" si="49"/>
        <v>0</v>
      </c>
      <c r="L85" s="20"/>
      <c r="M85" s="20"/>
      <c r="N85" s="20"/>
      <c r="O85" s="20"/>
    </row>
    <row r="86" spans="2:15" ht="15.5" hidden="1" outlineLevel="1" thickTop="1" thickBot="1" x14ac:dyDescent="0.4">
      <c r="B86" s="3" t="str">
        <f t="shared" ref="B86:C86" si="54">B21</f>
        <v>0</v>
      </c>
      <c r="C86" s="3">
        <f t="shared" si="54"/>
        <v>0</v>
      </c>
      <c r="D86" s="3" t="e">
        <f t="array" ref="D86">IF(SUMPRODUCT(ROUND($K$6:$K$17*$D$66/$E$71:$E$82,0),$E$71:$E$82)&gt;$D$66,ROUND($D$66*($D$66/SUMPRODUCT(ROUND($K$6:$K$17*$D$66/$E$71:$E$82,0),$E$71:$E$82))*K21/E86,0),ROUND($D$66*K21/E86,0))</f>
        <v>#DIV/0!</v>
      </c>
      <c r="E86" s="77">
        <f t="shared" si="37"/>
        <v>0</v>
      </c>
      <c r="F86" s="5">
        <f t="shared" si="51"/>
        <v>0</v>
      </c>
      <c r="G86" s="5">
        <f t="shared" si="39"/>
        <v>0</v>
      </c>
      <c r="H86" s="4">
        <f t="shared" si="52"/>
        <v>0</v>
      </c>
      <c r="I86" s="6">
        <f t="shared" si="48"/>
        <v>0</v>
      </c>
      <c r="J86" s="6">
        <f t="shared" si="42"/>
        <v>0</v>
      </c>
      <c r="K86" s="21">
        <f t="shared" si="49"/>
        <v>0</v>
      </c>
      <c r="L86" s="20"/>
      <c r="M86" s="20"/>
      <c r="N86" s="20"/>
      <c r="O86" s="20"/>
    </row>
    <row r="87" spans="2:15" ht="15.5" hidden="1" outlineLevel="1" thickTop="1" thickBot="1" x14ac:dyDescent="0.4">
      <c r="B87" s="3" t="str">
        <f t="shared" ref="B87:C87" si="55">B22</f>
        <v>0</v>
      </c>
      <c r="C87" s="3">
        <f t="shared" si="55"/>
        <v>0</v>
      </c>
      <c r="D87" s="3" t="e">
        <f t="array" ref="D87">IF(SUMPRODUCT(ROUND($K$6:$K$17*$D$66/$E$71:$E$82,0),$E$71:$E$82)&gt;$D$66,ROUND($D$66*($D$66/SUMPRODUCT(ROUND($K$6:$K$17*$D$66/$E$71:$E$82,0),$E$71:$E$82))*K22/E87,0),ROUND($D$66*K22/E87,0))</f>
        <v>#DIV/0!</v>
      </c>
      <c r="E87" s="77">
        <f t="shared" si="37"/>
        <v>0</v>
      </c>
      <c r="F87" s="5">
        <f t="shared" si="51"/>
        <v>0</v>
      </c>
      <c r="G87" s="5">
        <f t="shared" si="39"/>
        <v>0</v>
      </c>
      <c r="H87" s="4">
        <f t="shared" si="52"/>
        <v>0</v>
      </c>
      <c r="I87" s="6">
        <f t="shared" si="48"/>
        <v>0</v>
      </c>
      <c r="J87" s="6">
        <f t="shared" si="42"/>
        <v>0</v>
      </c>
      <c r="K87" s="21">
        <f t="shared" si="49"/>
        <v>0</v>
      </c>
      <c r="L87" s="20"/>
      <c r="M87" s="20"/>
      <c r="N87" s="20"/>
      <c r="O87" s="20"/>
    </row>
    <row r="88" spans="2:15" ht="15.5" hidden="1" outlineLevel="1" thickTop="1" thickBot="1" x14ac:dyDescent="0.4">
      <c r="B88" s="3" t="str">
        <f t="shared" ref="B88:C88" si="56">B23</f>
        <v>0</v>
      </c>
      <c r="C88" s="3">
        <f t="shared" si="56"/>
        <v>0</v>
      </c>
      <c r="D88" s="3" t="e">
        <f t="array" ref="D88">IF(SUMPRODUCT(ROUND($K$6:$K$17*$D$66/$E$71:$E$82,0),$E$71:$E$82)&gt;$D$66,ROUND($D$66*($D$66/SUMPRODUCT(ROUND($K$6:$K$17*$D$66/$E$71:$E$82,0),$E$71:$E$82))*K23/E88,0),ROUND($D$66*K23/E88,0))</f>
        <v>#DIV/0!</v>
      </c>
      <c r="E88" s="77">
        <f t="shared" si="37"/>
        <v>0</v>
      </c>
      <c r="F88" s="5">
        <f t="shared" si="51"/>
        <v>0</v>
      </c>
      <c r="G88" s="5">
        <f t="shared" si="39"/>
        <v>0</v>
      </c>
      <c r="H88" s="4">
        <f t="shared" si="52"/>
        <v>0</v>
      </c>
      <c r="I88" s="6">
        <f t="shared" si="48"/>
        <v>0</v>
      </c>
      <c r="J88" s="6">
        <f t="shared" si="42"/>
        <v>0</v>
      </c>
      <c r="K88" s="21">
        <f t="shared" si="49"/>
        <v>0</v>
      </c>
      <c r="L88" s="20"/>
      <c r="M88" s="20"/>
      <c r="N88" s="20"/>
      <c r="O88" s="20"/>
    </row>
    <row r="89" spans="2:15" ht="15.5" hidden="1" outlineLevel="1" thickTop="1" thickBot="1" x14ac:dyDescent="0.4">
      <c r="B89" s="3" t="str">
        <f t="shared" ref="B89:C89" si="57">B24</f>
        <v>0</v>
      </c>
      <c r="C89" s="3">
        <f t="shared" si="57"/>
        <v>0</v>
      </c>
      <c r="D89" s="3" t="e">
        <f t="array" ref="D89">IF(SUMPRODUCT(ROUND($K$6:$K$17*$D$66/$E$71:$E$82,0),$E$71:$E$82)&gt;$D$66,ROUND($D$66*($D$66/SUMPRODUCT(ROUND($K$6:$K$17*$D$66/$E$71:$E$82,0),$E$71:$E$82))*K24/E89,0),ROUND($D$66*K24/E89,0))</f>
        <v>#DIV/0!</v>
      </c>
      <c r="E89" s="77">
        <f t="shared" si="37"/>
        <v>0</v>
      </c>
      <c r="F89" s="5">
        <f t="shared" si="51"/>
        <v>0</v>
      </c>
      <c r="G89" s="5">
        <f t="shared" si="39"/>
        <v>0</v>
      </c>
      <c r="H89" s="4">
        <f t="shared" si="52"/>
        <v>0</v>
      </c>
      <c r="I89" s="6">
        <f t="shared" si="48"/>
        <v>0</v>
      </c>
      <c r="J89" s="6">
        <f t="shared" si="42"/>
        <v>0</v>
      </c>
      <c r="K89" s="21">
        <f t="shared" si="49"/>
        <v>0</v>
      </c>
      <c r="L89" s="20"/>
      <c r="M89" s="20"/>
      <c r="N89" s="20"/>
      <c r="O89" s="20"/>
    </row>
    <row r="90" spans="2:15" ht="15.5" hidden="1" outlineLevel="1" thickTop="1" thickBot="1" x14ac:dyDescent="0.4">
      <c r="B90" s="3" t="str">
        <f t="shared" ref="B90:C90" si="58">B25</f>
        <v>0</v>
      </c>
      <c r="C90" s="3">
        <f t="shared" si="58"/>
        <v>0</v>
      </c>
      <c r="D90" s="3" t="e">
        <f t="array" ref="D90">IF(SUMPRODUCT(ROUND($K$6:$K$17*$D$66/$E$71:$E$82,0),$E$71:$E$82)&gt;$D$66,ROUND($D$66*($D$66/SUMPRODUCT(ROUND($K$6:$K$17*$D$66/$E$71:$E$82,0),$E$71:$E$82))*K25/E90,0),ROUND($D$66*K25/E90,0))</f>
        <v>#DIV/0!</v>
      </c>
      <c r="E90" s="77">
        <f t="shared" si="37"/>
        <v>0</v>
      </c>
      <c r="F90" s="5">
        <f t="shared" si="51"/>
        <v>0</v>
      </c>
      <c r="G90" s="5">
        <f t="shared" si="39"/>
        <v>0</v>
      </c>
      <c r="H90" s="4">
        <f t="shared" si="52"/>
        <v>0</v>
      </c>
      <c r="I90" s="6">
        <f t="shared" si="48"/>
        <v>0</v>
      </c>
      <c r="J90" s="6">
        <f t="shared" si="42"/>
        <v>0</v>
      </c>
      <c r="K90" s="21">
        <f t="shared" si="49"/>
        <v>0</v>
      </c>
      <c r="L90" s="20"/>
      <c r="M90" s="20"/>
      <c r="N90" s="20"/>
      <c r="O90" s="20"/>
    </row>
    <row r="91" spans="2:15" ht="15.5" hidden="1" outlineLevel="1" thickTop="1" thickBot="1" x14ac:dyDescent="0.4">
      <c r="B91" s="3" t="s">
        <v>7</v>
      </c>
      <c r="C91" s="3"/>
      <c r="D91" s="133" cm="1">
        <f t="array" ref="D91">D66-SUMPRODUCT(IFERROR(D71:D90,0),IFERROR(E71:E90,0))</f>
        <v>26.560335159301758</v>
      </c>
      <c r="E91" s="4"/>
      <c r="F91" s="5"/>
      <c r="G91" s="5"/>
      <c r="H91" s="5">
        <f>D91</f>
        <v>26.560335159301758</v>
      </c>
      <c r="I91" s="6">
        <f>H91/$H$93</f>
        <v>1.3280167579650878E-3</v>
      </c>
      <c r="J91" s="6">
        <f>K26</f>
        <v>4.6439098131642797E-3</v>
      </c>
      <c r="K91" s="21">
        <f t="shared" si="43"/>
        <v>-3.3158930551991919E-3</v>
      </c>
      <c r="L91" s="20"/>
      <c r="M91" s="20"/>
      <c r="N91" s="20"/>
      <c r="O91" s="20"/>
    </row>
    <row r="92" spans="2:15" ht="15.5" hidden="1" customHeight="1" outlineLevel="1" thickTop="1" thickBot="1" x14ac:dyDescent="0.4">
      <c r="K92" s="22"/>
      <c r="L92" s="20"/>
      <c r="M92" s="23"/>
      <c r="N92" s="20"/>
      <c r="O92" s="20"/>
    </row>
    <row r="93" spans="2:15" ht="15.5" hidden="1" customHeight="1" outlineLevel="1" thickBot="1" x14ac:dyDescent="0.4">
      <c r="B93" s="9" t="s">
        <v>10</v>
      </c>
      <c r="C93" s="9"/>
      <c r="D93" s="9"/>
      <c r="E93" s="9"/>
      <c r="F93" s="10"/>
      <c r="G93" s="10"/>
      <c r="H93" s="10">
        <f>SUM(H71:H91)</f>
        <v>20000</v>
      </c>
      <c r="I93" s="11">
        <f>SUM(I71:I91)</f>
        <v>1</v>
      </c>
      <c r="J93" s="11">
        <f>SUM(J71:J91)</f>
        <v>0.99999999999999978</v>
      </c>
      <c r="K93" s="12">
        <f t="array" ref="K93">SUM(ABS(K71:K91))</f>
        <v>9.2487541406671564E-3</v>
      </c>
      <c r="L93" s="24" t="str">
        <f>IF(K93&lt;0.1,"Excelente",IF(AND(K93&lt;=0.2,K93&gt;=0.1),"Buena",IF(AND(K93&lt;=0.35,K93&gt;0.2),"Regular","Mala")))</f>
        <v>Excelente</v>
      </c>
    </row>
    <row r="94" spans="2:15" ht="20.5" hidden="1" customHeight="1" outlineLevel="1" thickTop="1" thickBot="1" x14ac:dyDescent="0.4">
      <c r="K94" s="143" t="s">
        <v>13</v>
      </c>
      <c r="L94" s="144"/>
    </row>
    <row r="95" spans="2:15" collapsed="1" x14ac:dyDescent="0.35"/>
    <row r="96" spans="2:15" x14ac:dyDescent="0.35">
      <c r="F96" s="8"/>
    </row>
    <row r="97" spans="5:6" x14ac:dyDescent="0.35">
      <c r="F97" s="8"/>
    </row>
    <row r="98" spans="5:6" x14ac:dyDescent="0.35">
      <c r="F98" s="8"/>
    </row>
    <row r="99" spans="5:6" x14ac:dyDescent="0.35">
      <c r="F99" s="8"/>
    </row>
    <row r="100" spans="5:6" x14ac:dyDescent="0.35">
      <c r="F100" s="8"/>
    </row>
    <row r="101" spans="5:6" x14ac:dyDescent="0.35">
      <c r="F101" s="8"/>
    </row>
    <row r="102" spans="5:6" x14ac:dyDescent="0.35">
      <c r="F102" s="8"/>
    </row>
    <row r="103" spans="5:6" x14ac:dyDescent="0.35">
      <c r="F103" s="8"/>
    </row>
    <row r="104" spans="5:6" x14ac:dyDescent="0.35">
      <c r="F104" s="8"/>
    </row>
    <row r="105" spans="5:6" x14ac:dyDescent="0.35">
      <c r="E105" s="89"/>
      <c r="F105" s="18"/>
    </row>
  </sheetData>
  <sheetProtection algorithmName="SHA-512" hashValue="pwJFQ1uvfLuLc5Z8Jux4nm7qwt/dLHSa326QqIj9Zbdg0PUa51WREMjZOxanaZ7xBnGIKsSLBqnuzamy672R7w==" saltValue="U9DKppTtY0GLXVwZld+Oeg==" spinCount="100000" sheet="1" objects="1" scenarios="1" formatRows="0"/>
  <mergeCells count="14">
    <mergeCell ref="F2:G2"/>
    <mergeCell ref="B2:C2"/>
    <mergeCell ref="B69:C69"/>
    <mergeCell ref="B66:C66"/>
    <mergeCell ref="B65:C65"/>
    <mergeCell ref="B32:C32"/>
    <mergeCell ref="M62:N62"/>
    <mergeCell ref="B34:K35"/>
    <mergeCell ref="B67:K67"/>
    <mergeCell ref="B3:C3"/>
    <mergeCell ref="K94:L94"/>
    <mergeCell ref="B31:C31"/>
    <mergeCell ref="B37:C37"/>
    <mergeCell ref="B33:C33"/>
  </mergeCells>
  <conditionalFormatting sqref="E71:E90">
    <cfRule type="expression" dxfId="30" priority="25">
      <formula>#REF!="Último cierre"</formula>
    </cfRule>
  </conditionalFormatting>
  <conditionalFormatting sqref="J6:J26 D33">
    <cfRule type="cellIs" dxfId="29" priority="6" operator="lessThan">
      <formula>0</formula>
    </cfRule>
    <cfRule type="cellIs" dxfId="28" priority="7" operator="greaterThan">
      <formula>0</formula>
    </cfRule>
  </conditionalFormatting>
  <conditionalFormatting sqref="J28:J30">
    <cfRule type="cellIs" dxfId="27" priority="36" operator="lessThan">
      <formula>0</formula>
    </cfRule>
    <cfRule type="cellIs" dxfId="26" priority="37" operator="greaterThan">
      <formula>0</formula>
    </cfRule>
  </conditionalFormatting>
  <conditionalFormatting sqref="J39:J58 J61">
    <cfRule type="cellIs" dxfId="25" priority="4" operator="lessThan">
      <formula>0</formula>
    </cfRule>
    <cfRule type="cellIs" dxfId="24" priority="5" operator="greaterThan">
      <formula>0</formula>
    </cfRule>
  </conditionalFormatting>
  <conditionalFormatting sqref="K71:K92">
    <cfRule type="dataBar" priority="104">
      <dataBar>
        <cfvo type="min"/>
        <cfvo type="max"/>
        <color rgb="FF638EC6"/>
      </dataBar>
      <extLst>
        <ext xmlns:x14="http://schemas.microsoft.com/office/spreadsheetml/2009/9/main" uri="{B025F937-C7B1-47D3-B67F-A62EFF666E3E}">
          <x14:id>{DC2930AF-6D1F-44AA-8DAA-385425FF4B23}</x14:id>
        </ext>
      </extLst>
    </cfRule>
  </conditionalFormatting>
  <conditionalFormatting sqref="K93">
    <cfRule type="dataBar" priority="23">
      <dataBar>
        <cfvo type="num" val="0"/>
        <cfvo type="num" val="1"/>
        <color rgb="FFFF0000"/>
      </dataBar>
      <extLst>
        <ext xmlns:x14="http://schemas.microsoft.com/office/spreadsheetml/2009/9/main" uri="{B025F937-C7B1-47D3-B67F-A62EFF666E3E}">
          <x14:id>{F3D7CAD5-D2E3-45F6-945D-92CA00EA4F77}</x14:id>
        </ext>
      </extLst>
    </cfRule>
  </conditionalFormatting>
  <conditionalFormatting sqref="L93">
    <cfRule type="containsText" dxfId="23" priority="15" operator="containsText" text="Mala">
      <formula>NOT(ISERROR(SEARCH("Mala",L93)))</formula>
    </cfRule>
    <cfRule type="containsText" dxfId="22" priority="16" operator="containsText" text="Regular">
      <formula>NOT(ISERROR(SEARCH("Regular",L93)))</formula>
    </cfRule>
    <cfRule type="containsText" dxfId="21" priority="17" operator="containsText" text="Buena">
      <formula>NOT(ISERROR(SEARCH("Buena",L93)))</formula>
    </cfRule>
    <cfRule type="containsText" dxfId="20" priority="18" operator="containsText" text="Excelente">
      <formula>NOT(ISERROR(SEARCH("Excelente",L93)))</formula>
    </cfRule>
  </conditionalFormatting>
  <conditionalFormatting sqref="M39:M60">
    <cfRule type="dataBar" priority="103">
      <dataBar>
        <cfvo type="min"/>
        <cfvo type="max"/>
        <color rgb="FF638EC6"/>
      </dataBar>
      <extLst>
        <ext xmlns:x14="http://schemas.microsoft.com/office/spreadsheetml/2009/9/main" uri="{B025F937-C7B1-47D3-B67F-A62EFF666E3E}">
          <x14:id>{A6C38E43-9828-4B60-9E45-6183185C3C99}</x14:id>
        </ext>
      </extLst>
    </cfRule>
  </conditionalFormatting>
  <conditionalFormatting sqref="M61">
    <cfRule type="dataBar" priority="12">
      <dataBar>
        <cfvo type="num" val="0"/>
        <cfvo type="num" val="1"/>
        <color rgb="FFFF0000"/>
      </dataBar>
      <extLst>
        <ext xmlns:x14="http://schemas.microsoft.com/office/spreadsheetml/2009/9/main" uri="{B025F937-C7B1-47D3-B67F-A62EFF666E3E}">
          <x14:id>{1C947784-B163-4AC8-858D-C81BC4ECD788}</x14:id>
        </ext>
      </extLst>
    </cfRule>
  </conditionalFormatting>
  <conditionalFormatting sqref="N61">
    <cfRule type="containsText" dxfId="19" priority="8" operator="containsText" text="Mala">
      <formula>NOT(ISERROR(SEARCH("Mala",N61)))</formula>
    </cfRule>
    <cfRule type="containsText" dxfId="18" priority="9" operator="containsText" text="Regular">
      <formula>NOT(ISERROR(SEARCH("Regular",N61)))</formula>
    </cfRule>
    <cfRule type="containsText" dxfId="17" priority="10" operator="containsText" text="Buena">
      <formula>NOT(ISERROR(SEARCH("Buena",N61)))</formula>
    </cfRule>
    <cfRule type="containsText" dxfId="16" priority="11" operator="containsText" text="Excelente">
      <formula>NOT(ISERROR(SEARCH("Excelente",N61)))</formula>
    </cfRule>
  </conditionalFormatting>
  <conditionalFormatting sqref="I26">
    <cfRule type="cellIs" dxfId="15" priority="1" operator="lessThan">
      <formula>0</formula>
    </cfRule>
    <cfRule type="cellIs" dxfId="14" priority="2" operator="greaterThan">
      <formula>0</formula>
    </cfRule>
  </conditionalFormatting>
  <pageMargins left="0.7" right="0.7" top="0.75" bottom="0.75" header="0.3" footer="0.3"/>
  <drawing r:id="rId1"/>
  <legacyDrawing r:id="rId2"/>
  <extLst>
    <ext xmlns:x14="http://schemas.microsoft.com/office/spreadsheetml/2009/9/main" uri="{78C0D931-6437-407d-A8EE-F0AAD7539E65}">
      <x14:conditionalFormattings>
        <x14:conditionalFormatting xmlns:xm="http://schemas.microsoft.com/office/excel/2006/main">
          <x14:cfRule type="dataBar" id="{DC2930AF-6D1F-44AA-8DAA-385425FF4B23}">
            <x14:dataBar minLength="0" maxLength="100" border="1" negativeBarBorderColorSameAsPositive="0">
              <x14:cfvo type="autoMin"/>
              <x14:cfvo type="autoMax"/>
              <x14:borderColor rgb="FF638EC6"/>
              <x14:negativeFillColor rgb="FFFF0000"/>
              <x14:negativeBorderColor rgb="FFFF0000"/>
              <x14:axisColor rgb="FF000000"/>
            </x14:dataBar>
          </x14:cfRule>
          <xm:sqref>K71:K92</xm:sqref>
        </x14:conditionalFormatting>
        <x14:conditionalFormatting xmlns:xm="http://schemas.microsoft.com/office/excel/2006/main">
          <x14:cfRule type="dataBar" id="{F3D7CAD5-D2E3-45F6-945D-92CA00EA4F77}">
            <x14:dataBar minLength="0" maxLength="100" gradient="0" direction="rightToLeft">
              <x14:cfvo type="num">
                <xm:f>0</xm:f>
              </x14:cfvo>
              <x14:cfvo type="num">
                <xm:f>1</xm:f>
              </x14:cfvo>
              <x14:negativeFillColor rgb="FFFF0000"/>
              <x14:axisColor rgb="FF000000"/>
            </x14:dataBar>
          </x14:cfRule>
          <xm:sqref>K93</xm:sqref>
        </x14:conditionalFormatting>
        <x14:conditionalFormatting xmlns:xm="http://schemas.microsoft.com/office/excel/2006/main">
          <x14:cfRule type="dataBar" id="{A6C38E43-9828-4B60-9E45-6183185C3C99}">
            <x14:dataBar minLength="0" maxLength="100" border="1" negativeBarBorderColorSameAsPositive="0">
              <x14:cfvo type="autoMin"/>
              <x14:cfvo type="autoMax"/>
              <x14:borderColor rgb="FF638EC6"/>
              <x14:negativeFillColor rgb="FFFF0000"/>
              <x14:negativeBorderColor rgb="FFFF0000"/>
              <x14:axisColor rgb="FF000000"/>
            </x14:dataBar>
          </x14:cfRule>
          <xm:sqref>M39:M60</xm:sqref>
        </x14:conditionalFormatting>
        <x14:conditionalFormatting xmlns:xm="http://schemas.microsoft.com/office/excel/2006/main">
          <x14:cfRule type="dataBar" id="{1C947784-B163-4AC8-858D-C81BC4ECD788}">
            <x14:dataBar minLength="0" maxLength="100" gradient="0" direction="rightToLeft">
              <x14:cfvo type="num">
                <xm:f>0</xm:f>
              </x14:cfvo>
              <x14:cfvo type="num">
                <xm:f>1</xm:f>
              </x14:cfvo>
              <x14:negativeFillColor rgb="FFFF0000"/>
              <x14:axisColor rgb="FF000000"/>
            </x14:dataBar>
          </x14:cfRule>
          <xm:sqref>M61</xm:sqref>
        </x14:conditionalFormatting>
      </x14:conditionalFormatting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B27AA3-7780-43B2-BFBA-7B5E299955F1}">
  <sheetPr codeName="Hoja4">
    <tabColor theme="2" tint="-9.9978637043366805E-2"/>
  </sheetPr>
  <dimension ref="B1:Q165"/>
  <sheetViews>
    <sheetView showGridLines="0" showRowColHeaders="0" tabSelected="1" zoomScale="80" zoomScaleNormal="80" workbookViewId="0">
      <selection activeCell="J42" sqref="J42"/>
    </sheetView>
  </sheetViews>
  <sheetFormatPr baseColWidth="10" defaultRowHeight="14.5" outlineLevelRow="1" x14ac:dyDescent="0.35"/>
  <cols>
    <col min="1" max="1" width="3.08984375" customWidth="1"/>
    <col min="3" max="3" width="35.81640625" customWidth="1"/>
    <col min="6" max="6" width="13.36328125" customWidth="1"/>
    <col min="7" max="7" width="11.26953125" customWidth="1"/>
    <col min="8" max="8" width="11.6328125" customWidth="1"/>
    <col min="9" max="10" width="12.6328125" customWidth="1"/>
    <col min="18" max="18" width="10.90625" customWidth="1"/>
  </cols>
  <sheetData>
    <row r="1" spans="2:17" ht="9.5" customHeight="1" x14ac:dyDescent="0.35"/>
    <row r="2" spans="2:17" ht="15" x14ac:dyDescent="0.4">
      <c r="B2" s="152" t="s">
        <v>0</v>
      </c>
      <c r="C2" s="152"/>
      <c r="D2" s="76">
        <v>45779</v>
      </c>
      <c r="F2" s="151" t="s">
        <v>45</v>
      </c>
      <c r="G2" s="151"/>
      <c r="H2" s="107">
        <v>0</v>
      </c>
      <c r="J2" s="108">
        <v>9.7799999999999998E-2</v>
      </c>
    </row>
    <row r="3" spans="2:17" ht="15" x14ac:dyDescent="0.4">
      <c r="B3" s="147" t="s">
        <v>23</v>
      </c>
      <c r="C3" s="147"/>
      <c r="D3" s="64">
        <v>25000</v>
      </c>
      <c r="J3" s="108">
        <v>0</v>
      </c>
    </row>
    <row r="4" spans="2:17" ht="15.5" thickBot="1" x14ac:dyDescent="0.45">
      <c r="B4" s="54"/>
      <c r="C4" s="54"/>
      <c r="I4" s="26"/>
    </row>
    <row r="5" spans="2:17" ht="16.5" thickBot="1" x14ac:dyDescent="0.5">
      <c r="B5" s="28"/>
      <c r="C5" s="20"/>
      <c r="D5" s="157" t="s">
        <v>16</v>
      </c>
      <c r="E5" s="158"/>
      <c r="F5" s="158"/>
      <c r="G5" s="158"/>
      <c r="H5" s="158"/>
      <c r="I5" s="158"/>
      <c r="J5" s="159"/>
      <c r="K5" s="153" t="s">
        <v>17</v>
      </c>
      <c r="L5" s="154"/>
      <c r="M5" s="154"/>
      <c r="N5" s="155"/>
      <c r="O5" s="20"/>
    </row>
    <row r="6" spans="2:17" ht="36" thickTop="1" thickBot="1" x14ac:dyDescent="0.4">
      <c r="B6" s="1" t="s">
        <v>1</v>
      </c>
      <c r="C6" s="29" t="s">
        <v>2</v>
      </c>
      <c r="D6" s="30" t="s">
        <v>3</v>
      </c>
      <c r="E6" s="60" t="s">
        <v>8</v>
      </c>
      <c r="F6" s="62" t="s">
        <v>21</v>
      </c>
      <c r="G6" s="31" t="s">
        <v>6</v>
      </c>
      <c r="H6" s="62" t="s">
        <v>22</v>
      </c>
      <c r="I6" s="31" t="s">
        <v>19</v>
      </c>
      <c r="J6" s="31" t="s">
        <v>20</v>
      </c>
      <c r="K6" s="61" t="s">
        <v>3</v>
      </c>
      <c r="L6" s="61" t="s">
        <v>8</v>
      </c>
      <c r="M6" s="32" t="s">
        <v>9</v>
      </c>
      <c r="N6" s="33" t="s">
        <v>6</v>
      </c>
      <c r="O6" s="34" t="s">
        <v>18</v>
      </c>
    </row>
    <row r="7" spans="2:17" ht="15.5" thickTop="1" thickBot="1" x14ac:dyDescent="0.4">
      <c r="B7" s="3" t="s">
        <v>70</v>
      </c>
      <c r="C7" s="35" t="str">
        <f>IFERROR(VLOOKUP(B7,GICS!$A:$B,2,0),0)</f>
        <v>Alsea SA</v>
      </c>
      <c r="D7" s="36">
        <v>80</v>
      </c>
      <c r="E7" s="63">
        <v>50.244539083551025</v>
      </c>
      <c r="F7" s="5">
        <v>48.310001</v>
      </c>
      <c r="G7" s="6">
        <f t="shared" ref="G7:G23" si="0">D7*F7/$F$44</f>
        <v>9.9436482904743106E-2</v>
      </c>
      <c r="H7" s="5">
        <v>43.970001220703125</v>
      </c>
      <c r="I7" s="5">
        <v>0</v>
      </c>
      <c r="J7" s="56">
        <f>(H7+I7/D7)/F7-1</f>
        <v>-8.9836466351902455E-2</v>
      </c>
      <c r="K7" s="103">
        <f>D7+D47</f>
        <v>66</v>
      </c>
      <c r="L7" s="63">
        <f t="shared" ref="L7:L23" si="1">IF(K7&gt;0,IF(K7&gt;D7,(D7*E7+(K7-D7)*E47)/K7,E7),0)</f>
        <v>50.244539083551025</v>
      </c>
      <c r="M7" s="4">
        <f>K7*H7</f>
        <v>2902.0200805664063</v>
      </c>
      <c r="N7" s="37">
        <f t="shared" ref="N7:N23" si="2">M7/$M$44</f>
        <v>6.6767941821146898E-2</v>
      </c>
      <c r="O7" s="38">
        <f>N7-G7</f>
        <v>-3.2668541083596209E-2</v>
      </c>
      <c r="Q7" s="7"/>
    </row>
    <row r="8" spans="2:17" ht="15.5" thickTop="1" thickBot="1" x14ac:dyDescent="0.4">
      <c r="B8" s="3" t="s">
        <v>87</v>
      </c>
      <c r="C8" s="35" t="str">
        <f>IFERROR(VLOOKUP(B8,GICS!$A:$B,2,0),0)</f>
        <v>El Puerto de Liverpool SAB de CV</v>
      </c>
      <c r="D8" s="36">
        <v>37</v>
      </c>
      <c r="E8" s="63">
        <v>134.15110778808591</v>
      </c>
      <c r="F8" s="5">
        <v>105.209999</v>
      </c>
      <c r="G8" s="6">
        <f t="shared" si="0"/>
        <v>0.10015611308876472</v>
      </c>
      <c r="H8" s="5">
        <v>90.30999755859375</v>
      </c>
      <c r="I8" s="5">
        <v>0</v>
      </c>
      <c r="J8" s="56">
        <f t="shared" ref="J8:J17" si="3">(H8+I8/D8)/F8-1</f>
        <v>-0.14162153391339016</v>
      </c>
      <c r="K8" s="103">
        <f t="shared" ref="K8:K24" si="4">D8+D48</f>
        <v>32</v>
      </c>
      <c r="L8" s="63">
        <f t="shared" si="1"/>
        <v>134.15110778808591</v>
      </c>
      <c r="M8" s="4">
        <f t="shared" ref="M8:M23" si="5">K8*H8</f>
        <v>2889.919921875</v>
      </c>
      <c r="N8" s="37">
        <f t="shared" si="2"/>
        <v>6.6489548609141011E-2</v>
      </c>
      <c r="O8" s="38">
        <f t="shared" ref="O8:O23" si="6">N8-G8</f>
        <v>-3.3666564479623712E-2</v>
      </c>
      <c r="Q8" s="7"/>
    </row>
    <row r="9" spans="2:17" ht="15.5" thickTop="1" thickBot="1" x14ac:dyDescent="0.4">
      <c r="B9" s="3" t="s">
        <v>81</v>
      </c>
      <c r="C9" s="35" t="str">
        <f>IFERROR(VLOOKUP(B9,GICS!$A:$B,2,0),0)</f>
        <v>Grupo Aeroportuario del Pacifico, S.A.B. de C.V.</v>
      </c>
      <c r="D9" s="36">
        <v>11</v>
      </c>
      <c r="E9" s="63">
        <v>348.54998799999998</v>
      </c>
      <c r="F9" s="5">
        <v>348.54998799999998</v>
      </c>
      <c r="G9" s="6">
        <f t="shared" si="0"/>
        <v>9.8645318325318032E-2</v>
      </c>
      <c r="H9" s="5">
        <v>397.3800048828125</v>
      </c>
      <c r="I9" s="5">
        <v>76.22999999999999</v>
      </c>
      <c r="J9" s="56">
        <f t="shared" si="3"/>
        <v>0.15997710171435298</v>
      </c>
      <c r="K9" s="103">
        <f t="shared" si="4"/>
        <v>0</v>
      </c>
      <c r="L9" s="63">
        <f t="shared" si="1"/>
        <v>0</v>
      </c>
      <c r="M9" s="4">
        <f t="shared" si="5"/>
        <v>0</v>
      </c>
      <c r="N9" s="37">
        <f t="shared" si="2"/>
        <v>0</v>
      </c>
      <c r="O9" s="38">
        <f t="shared" si="6"/>
        <v>-9.8645318325318032E-2</v>
      </c>
      <c r="Q9" s="7"/>
    </row>
    <row r="10" spans="2:17" ht="15.5" thickTop="1" thickBot="1" x14ac:dyDescent="0.4">
      <c r="B10" s="3" t="s">
        <v>104</v>
      </c>
      <c r="C10" s="35" t="str">
        <f>IFERROR(VLOOKUP(B10,GICS!$A:$B,2,0),0)</f>
        <v>Walmart de Mexico SAB de CV</v>
      </c>
      <c r="D10" s="36">
        <v>70</v>
      </c>
      <c r="E10" s="63">
        <v>55.25</v>
      </c>
      <c r="F10" s="5">
        <v>55.25</v>
      </c>
      <c r="G10" s="6">
        <f t="shared" si="0"/>
        <v>9.950594847692458E-2</v>
      </c>
      <c r="H10" s="5">
        <v>62.130001068115234</v>
      </c>
      <c r="I10" s="5">
        <v>151.9</v>
      </c>
      <c r="J10" s="56">
        <f t="shared" si="3"/>
        <v>0.163800924309778</v>
      </c>
      <c r="K10" s="103">
        <f t="shared" si="4"/>
        <v>0</v>
      </c>
      <c r="L10" s="63">
        <f t="shared" si="1"/>
        <v>0</v>
      </c>
      <c r="M10" s="4">
        <f>K10*H10</f>
        <v>0</v>
      </c>
      <c r="N10" s="37">
        <f t="shared" si="2"/>
        <v>0</v>
      </c>
      <c r="O10" s="38">
        <f t="shared" si="6"/>
        <v>-9.950594847692458E-2</v>
      </c>
      <c r="Q10" s="7"/>
    </row>
    <row r="11" spans="2:17" ht="15.5" thickTop="1" thickBot="1" x14ac:dyDescent="0.4">
      <c r="B11" s="3" t="s">
        <v>66</v>
      </c>
      <c r="C11" s="35" t="str">
        <f>IFERROR(VLOOKUP(B11,GICS!$A:$B,2,0),0)</f>
        <v>Cemex SA CPO</v>
      </c>
      <c r="D11" s="36">
        <v>371</v>
      </c>
      <c r="E11" s="63">
        <v>10.49</v>
      </c>
      <c r="F11" s="5">
        <v>10.49</v>
      </c>
      <c r="G11" s="6">
        <f t="shared" si="0"/>
        <v>0.10013089986373892</v>
      </c>
      <c r="H11" s="5">
        <v>12.130000114440918</v>
      </c>
      <c r="I11" s="5">
        <v>0</v>
      </c>
      <c r="J11" s="56">
        <f t="shared" si="3"/>
        <v>0.15633938173888628</v>
      </c>
      <c r="K11" s="103">
        <f t="shared" si="4"/>
        <v>0</v>
      </c>
      <c r="L11" s="63">
        <f t="shared" si="1"/>
        <v>0</v>
      </c>
      <c r="M11" s="4">
        <f t="shared" si="5"/>
        <v>0</v>
      </c>
      <c r="N11" s="37">
        <f t="shared" si="2"/>
        <v>0</v>
      </c>
      <c r="O11" s="38">
        <f>N11-G11</f>
        <v>-0.10013089986373892</v>
      </c>
      <c r="Q11" s="7"/>
    </row>
    <row r="12" spans="2:17" ht="15.5" thickTop="1" thickBot="1" x14ac:dyDescent="0.4">
      <c r="B12" s="3" t="s">
        <v>73</v>
      </c>
      <c r="C12" s="35" t="str">
        <f>IFERROR(VLOOKUP(B12,GICS!$A:$B,2,0),0)</f>
        <v>Industrias Penoles</v>
      </c>
      <c r="D12" s="36">
        <v>12</v>
      </c>
      <c r="E12" s="63">
        <v>315.19000199999999</v>
      </c>
      <c r="F12" s="5">
        <v>315.19000199999999</v>
      </c>
      <c r="G12" s="6">
        <f t="shared" si="0"/>
        <v>9.7313344846398198E-2</v>
      </c>
      <c r="H12" s="5">
        <v>392.989990234375</v>
      </c>
      <c r="I12" s="5">
        <v>0</v>
      </c>
      <c r="J12" s="56">
        <f t="shared" si="3"/>
        <v>0.24683520333990483</v>
      </c>
      <c r="K12" s="103">
        <f t="shared" si="4"/>
        <v>13</v>
      </c>
      <c r="L12" s="63">
        <f t="shared" si="1"/>
        <v>321.17461647956731</v>
      </c>
      <c r="M12" s="4">
        <f t="shared" si="5"/>
        <v>5108.869873046875</v>
      </c>
      <c r="N12" s="37">
        <f t="shared" si="2"/>
        <v>0.11754182155377349</v>
      </c>
      <c r="O12" s="38">
        <f t="shared" si="6"/>
        <v>2.0228476707375292E-2</v>
      </c>
      <c r="Q12" s="7"/>
    </row>
    <row r="13" spans="2:17" ht="15.5" thickTop="1" thickBot="1" x14ac:dyDescent="0.4">
      <c r="B13" s="3" t="s">
        <v>107</v>
      </c>
      <c r="C13" s="35" t="str">
        <f>IFERROR(VLOOKUP(B13,GICS!$A:$B,2,0),0)</f>
        <v>Banco del Bajio, S.A.</v>
      </c>
      <c r="D13" s="36">
        <v>88</v>
      </c>
      <c r="E13" s="63">
        <v>44.369999</v>
      </c>
      <c r="F13" s="5">
        <v>44.369999</v>
      </c>
      <c r="G13" s="6">
        <f t="shared" si="0"/>
        <v>0.10045945376303482</v>
      </c>
      <c r="H13" s="5">
        <v>47.060001373291016</v>
      </c>
      <c r="I13" s="5">
        <v>0</v>
      </c>
      <c r="J13" s="56">
        <f t="shared" si="3"/>
        <v>6.0626604325391575E-2</v>
      </c>
      <c r="K13" s="103">
        <f t="shared" si="4"/>
        <v>0</v>
      </c>
      <c r="L13" s="63">
        <f t="shared" si="1"/>
        <v>0</v>
      </c>
      <c r="M13" s="4">
        <f t="shared" si="5"/>
        <v>0</v>
      </c>
      <c r="N13" s="37">
        <f t="shared" si="2"/>
        <v>0</v>
      </c>
      <c r="O13" s="38">
        <f t="shared" si="6"/>
        <v>-0.10045945376303482</v>
      </c>
      <c r="Q13" s="7"/>
    </row>
    <row r="14" spans="2:17" ht="15.5" thickTop="1" thickBot="1" x14ac:dyDescent="0.4">
      <c r="B14" s="3" t="s">
        <v>85</v>
      </c>
      <c r="C14" s="35" t="str">
        <f>IFERROR(VLOOKUP(B14,GICS!$A:$B,2,0),0)</f>
        <v>Becle, S.A. De C.V.</v>
      </c>
      <c r="D14" s="36">
        <v>147</v>
      </c>
      <c r="E14" s="63">
        <v>26.379999000000002</v>
      </c>
      <c r="F14" s="5">
        <v>26.379999000000002</v>
      </c>
      <c r="G14" s="6">
        <f t="shared" si="0"/>
        <v>9.9772494565831246E-2</v>
      </c>
      <c r="H14" s="5">
        <v>22.670000076293945</v>
      </c>
      <c r="I14" s="5">
        <v>0</v>
      </c>
      <c r="J14" s="56">
        <f t="shared" si="3"/>
        <v>-0.14063681062709876</v>
      </c>
      <c r="K14" s="103">
        <f t="shared" si="4"/>
        <v>128</v>
      </c>
      <c r="L14" s="63">
        <f t="shared" si="1"/>
        <v>26.379999000000002</v>
      </c>
      <c r="M14" s="4">
        <f t="shared" si="5"/>
        <v>2901.760009765625</v>
      </c>
      <c r="N14" s="37">
        <f t="shared" si="2"/>
        <v>6.6761958267755175E-2</v>
      </c>
      <c r="O14" s="38">
        <f t="shared" si="6"/>
        <v>-3.3010536298076071E-2</v>
      </c>
      <c r="Q14" s="7"/>
    </row>
    <row r="15" spans="2:17" ht="15.5" thickTop="1" thickBot="1" x14ac:dyDescent="0.4">
      <c r="B15" s="3" t="s">
        <v>79</v>
      </c>
      <c r="C15" s="35" t="str">
        <f>IFERROR(VLOOKUP(B15,GICS!$A:$B,2,0),0)</f>
        <v>Kimberly Clark de Mexico S.A.B. de C.V. A</v>
      </c>
      <c r="D15" s="36">
        <v>135</v>
      </c>
      <c r="E15" s="63">
        <v>28.83</v>
      </c>
      <c r="F15" s="5">
        <v>28.83</v>
      </c>
      <c r="G15" s="6">
        <f t="shared" si="0"/>
        <v>0.10013758933926678</v>
      </c>
      <c r="H15" s="5">
        <v>34.5</v>
      </c>
      <c r="I15" s="5">
        <v>68.849999999999994</v>
      </c>
      <c r="J15" s="56">
        <f t="shared" si="3"/>
        <v>0.21436004162330913</v>
      </c>
      <c r="K15" s="103">
        <f t="shared" si="4"/>
        <v>0</v>
      </c>
      <c r="L15" s="63">
        <f t="shared" si="1"/>
        <v>0</v>
      </c>
      <c r="M15" s="4">
        <f t="shared" si="5"/>
        <v>0</v>
      </c>
      <c r="N15" s="37">
        <f t="shared" si="2"/>
        <v>0</v>
      </c>
      <c r="O15" s="38">
        <f t="shared" si="6"/>
        <v>-0.10013758933926678</v>
      </c>
      <c r="Q15" s="7"/>
    </row>
    <row r="16" spans="2:17" ht="15.5" thickTop="1" thickBot="1" x14ac:dyDescent="0.4">
      <c r="B16" s="3" t="s">
        <v>80</v>
      </c>
      <c r="C16" s="35" t="str">
        <f>IFERROR(VLOOKUP(B16,GICS!$A:$B,2,0),0)</f>
        <v>Qualitas Controladora S.A.B de C.V.</v>
      </c>
      <c r="D16" s="36">
        <v>28</v>
      </c>
      <c r="E16" s="63">
        <v>139.050003</v>
      </c>
      <c r="F16" s="5">
        <v>139.050003</v>
      </c>
      <c r="G16" s="6">
        <f t="shared" si="0"/>
        <v>0.10017232531572277</v>
      </c>
      <c r="H16" s="5">
        <v>216.94999694824219</v>
      </c>
      <c r="I16" s="5">
        <v>0</v>
      </c>
      <c r="J16" s="56">
        <f t="shared" si="3"/>
        <v>0.56023007743654762</v>
      </c>
      <c r="K16" s="103">
        <f t="shared" si="4"/>
        <v>13</v>
      </c>
      <c r="L16" s="63">
        <f t="shared" si="1"/>
        <v>139.050003</v>
      </c>
      <c r="M16" s="4">
        <f t="shared" si="5"/>
        <v>2820.3499603271484</v>
      </c>
      <c r="N16" s="37">
        <f t="shared" si="2"/>
        <v>6.4888924555492236E-2</v>
      </c>
      <c r="O16" s="38">
        <f t="shared" si="6"/>
        <v>-3.5283400760230538E-2</v>
      </c>
      <c r="Q16" s="7"/>
    </row>
    <row r="17" spans="2:17" ht="15.5" thickTop="1" thickBot="1" x14ac:dyDescent="0.4">
      <c r="B17" s="3" t="s">
        <v>86</v>
      </c>
      <c r="C17" s="35" t="str">
        <f>IFERROR(VLOOKUP(B17,GICS!$A:$B,2,0),0)</f>
        <v>Bolsa Mexicana de Valores SA de CV</v>
      </c>
      <c r="D17" s="36">
        <v>0</v>
      </c>
      <c r="E17" s="63">
        <v>0</v>
      </c>
      <c r="F17" s="5">
        <v>0</v>
      </c>
      <c r="G17" s="6">
        <f t="shared" si="0"/>
        <v>0</v>
      </c>
      <c r="H17" s="5">
        <v>41.319999694824219</v>
      </c>
      <c r="I17" s="5">
        <v>0</v>
      </c>
      <c r="J17" s="56" t="e">
        <f t="shared" si="3"/>
        <v>#DIV/0!</v>
      </c>
      <c r="K17" s="103">
        <f t="shared" si="4"/>
        <v>123</v>
      </c>
      <c r="L17" s="63">
        <f t="shared" si="1"/>
        <v>41.319999694824219</v>
      </c>
      <c r="M17" s="4">
        <f t="shared" si="5"/>
        <v>5082.3599624633789</v>
      </c>
      <c r="N17" s="37">
        <f t="shared" si="2"/>
        <v>0.1169318973911615</v>
      </c>
      <c r="O17" s="38">
        <f t="shared" si="6"/>
        <v>0.1169318973911615</v>
      </c>
      <c r="Q17" s="7"/>
    </row>
    <row r="18" spans="2:17" ht="15.5" thickTop="1" thickBot="1" x14ac:dyDescent="0.4">
      <c r="B18" s="3" t="s">
        <v>75</v>
      </c>
      <c r="C18" s="35" t="str">
        <f>IFERROR(VLOOKUP(B18,GICS!$A:$B,2,0),0)</f>
        <v>Gentera SAB de CV</v>
      </c>
      <c r="D18" s="36">
        <v>0</v>
      </c>
      <c r="E18" s="63">
        <v>0</v>
      </c>
      <c r="F18" s="5">
        <v>0</v>
      </c>
      <c r="G18" s="6">
        <f t="shared" si="0"/>
        <v>0</v>
      </c>
      <c r="H18" s="5">
        <v>34.189998626708984</v>
      </c>
      <c r="I18" s="5">
        <v>0</v>
      </c>
      <c r="J18" s="56" t="e">
        <f t="shared" ref="J18:J33" si="7">(H18+I18/D18)/F18-1</f>
        <v>#DIV/0!</v>
      </c>
      <c r="K18" s="103">
        <f t="shared" si="4"/>
        <v>148</v>
      </c>
      <c r="L18" s="63">
        <f t="shared" si="1"/>
        <v>34.189998626708984</v>
      </c>
      <c r="M18" s="4">
        <f t="shared" si="5"/>
        <v>5060.1197967529297</v>
      </c>
      <c r="N18" s="37">
        <f t="shared" si="2"/>
        <v>0.11642020896412686</v>
      </c>
      <c r="O18" s="38">
        <f t="shared" si="6"/>
        <v>0.11642020896412686</v>
      </c>
    </row>
    <row r="19" spans="2:17" ht="15.5" thickTop="1" thickBot="1" x14ac:dyDescent="0.4">
      <c r="B19" s="3" t="s">
        <v>111</v>
      </c>
      <c r="C19" s="35" t="str">
        <f>IFERROR(VLOOKUP(B19,GICS!$A:$B,2,0),0)</f>
        <v>Grupo Financiero Banorte O</v>
      </c>
      <c r="D19" s="36">
        <v>0</v>
      </c>
      <c r="E19" s="63">
        <v>0</v>
      </c>
      <c r="F19" s="5">
        <v>0</v>
      </c>
      <c r="G19" s="6">
        <f t="shared" si="0"/>
        <v>0</v>
      </c>
      <c r="H19" s="5">
        <v>168.14999389648438</v>
      </c>
      <c r="I19" s="5">
        <v>0</v>
      </c>
      <c r="J19" s="56" t="e">
        <f t="shared" si="7"/>
        <v>#DIV/0!</v>
      </c>
      <c r="K19" s="103">
        <f t="shared" si="4"/>
        <v>17</v>
      </c>
      <c r="L19" s="63">
        <f t="shared" si="1"/>
        <v>168.14999389648438</v>
      </c>
      <c r="M19" s="4">
        <f t="shared" si="5"/>
        <v>2858.5498962402344</v>
      </c>
      <c r="N19" s="37">
        <f t="shared" si="2"/>
        <v>6.576780582709206E-2</v>
      </c>
      <c r="O19" s="38">
        <f t="shared" si="6"/>
        <v>6.576780582709206E-2</v>
      </c>
    </row>
    <row r="20" spans="2:17" ht="15.5" thickTop="1" thickBot="1" x14ac:dyDescent="0.4">
      <c r="B20" s="3" t="s">
        <v>88</v>
      </c>
      <c r="C20" s="35" t="str">
        <f>IFERROR(VLOOKUP(B20,GICS!$A:$B,2,0),0)</f>
        <v>Megacable Holdings SAB de CV</v>
      </c>
      <c r="D20" s="36">
        <v>0</v>
      </c>
      <c r="E20" s="63">
        <v>0</v>
      </c>
      <c r="F20" s="5">
        <v>0</v>
      </c>
      <c r="G20" s="6">
        <f t="shared" si="0"/>
        <v>0</v>
      </c>
      <c r="H20" s="5">
        <v>47.700000762939453</v>
      </c>
      <c r="I20" s="5">
        <v>0</v>
      </c>
      <c r="J20" s="56" t="e">
        <f t="shared" si="7"/>
        <v>#DIV/0!</v>
      </c>
      <c r="K20" s="103">
        <f t="shared" si="4"/>
        <v>61</v>
      </c>
      <c r="L20" s="63">
        <f t="shared" si="1"/>
        <v>47.700000762939453</v>
      </c>
      <c r="M20" s="4">
        <f t="shared" si="5"/>
        <v>2909.7000465393066</v>
      </c>
      <c r="N20" s="37">
        <f t="shared" si="2"/>
        <v>6.6944637883555577E-2</v>
      </c>
      <c r="O20" s="38">
        <f t="shared" si="6"/>
        <v>6.6944637883555577E-2</v>
      </c>
    </row>
    <row r="21" spans="2:17" ht="15.5" thickTop="1" thickBot="1" x14ac:dyDescent="0.4">
      <c r="B21" s="3" t="s">
        <v>64</v>
      </c>
      <c r="C21" s="35" t="str">
        <f>IFERROR(VLOOKUP(B21,GICS!$A:$B,2,0),0)</f>
        <v>Grupo Aeroportuario del Centro Norte, S.A.B. de C.V.</v>
      </c>
      <c r="D21" s="36">
        <v>0</v>
      </c>
      <c r="E21" s="63">
        <v>0</v>
      </c>
      <c r="F21" s="5">
        <v>0</v>
      </c>
      <c r="G21" s="6">
        <f t="shared" si="0"/>
        <v>0</v>
      </c>
      <c r="H21" s="5">
        <v>215.78999328613281</v>
      </c>
      <c r="I21" s="5">
        <v>0</v>
      </c>
      <c r="J21" s="56" t="e">
        <f t="shared" si="7"/>
        <v>#DIV/0!</v>
      </c>
      <c r="K21" s="103">
        <f t="shared" si="4"/>
        <v>13</v>
      </c>
      <c r="L21" s="63">
        <f t="shared" si="1"/>
        <v>215.78999328613281</v>
      </c>
      <c r="M21" s="4">
        <f t="shared" si="5"/>
        <v>2805.2699127197266</v>
      </c>
      <c r="N21" s="37">
        <f t="shared" si="2"/>
        <v>6.4541971842085794E-2</v>
      </c>
      <c r="O21" s="38">
        <f t="shared" si="6"/>
        <v>6.4541971842085794E-2</v>
      </c>
    </row>
    <row r="22" spans="2:17" ht="15.5" thickTop="1" thickBot="1" x14ac:dyDescent="0.4">
      <c r="B22" s="3" t="s">
        <v>82</v>
      </c>
      <c r="C22" s="35" t="str">
        <f>IFERROR(VLOOKUP(B22,GICS!$A:$B,2,0),0)</f>
        <v>ORBIA ADVANCE CORPORATION SAB de CV</v>
      </c>
      <c r="D22" s="36">
        <v>0</v>
      </c>
      <c r="E22" s="63">
        <v>0</v>
      </c>
      <c r="F22" s="5">
        <v>0</v>
      </c>
      <c r="G22" s="6">
        <f t="shared" si="0"/>
        <v>0</v>
      </c>
      <c r="H22" s="5">
        <v>13.239999771118164</v>
      </c>
      <c r="I22" s="5">
        <v>0</v>
      </c>
      <c r="J22" s="56" t="e">
        <f t="shared" si="7"/>
        <v>#DIV/0!</v>
      </c>
      <c r="K22" s="103">
        <f t="shared" si="4"/>
        <v>383</v>
      </c>
      <c r="L22" s="63">
        <f t="shared" si="1"/>
        <v>13.239999771118164</v>
      </c>
      <c r="M22" s="4">
        <f t="shared" si="5"/>
        <v>5070.9199123382568</v>
      </c>
      <c r="N22" s="37">
        <f t="shared" si="2"/>
        <v>0.11666869156212531</v>
      </c>
      <c r="O22" s="38">
        <f t="shared" si="6"/>
        <v>0.11666869156212531</v>
      </c>
    </row>
    <row r="23" spans="2:17" ht="15.5" thickTop="1" thickBot="1" x14ac:dyDescent="0.4">
      <c r="B23" s="3" t="s">
        <v>67</v>
      </c>
      <c r="C23" s="35" t="str">
        <f>IFERROR(VLOOKUP(B23,GICS!$A:$B,2,0),0)</f>
        <v>Promotora y Operadora de Infraestructura SAB de CV</v>
      </c>
      <c r="D23" s="36">
        <v>0</v>
      </c>
      <c r="E23" s="63">
        <v>0</v>
      </c>
      <c r="F23" s="5">
        <v>0</v>
      </c>
      <c r="G23" s="6">
        <f t="shared" si="0"/>
        <v>0</v>
      </c>
      <c r="H23" s="5">
        <v>219.42999267578125</v>
      </c>
      <c r="I23" s="5">
        <v>0</v>
      </c>
      <c r="J23" s="56" t="e">
        <f t="shared" si="7"/>
        <v>#DIV/0!</v>
      </c>
      <c r="K23" s="103">
        <f t="shared" si="4"/>
        <v>13</v>
      </c>
      <c r="L23" s="63">
        <f t="shared" si="1"/>
        <v>219.42999267578125</v>
      </c>
      <c r="M23" s="4">
        <f t="shared" si="5"/>
        <v>2852.5899047851563</v>
      </c>
      <c r="N23" s="37">
        <f t="shared" si="2"/>
        <v>6.5630681909379707E-2</v>
      </c>
      <c r="O23" s="38">
        <f t="shared" si="6"/>
        <v>6.5630681909379707E-2</v>
      </c>
    </row>
    <row r="24" spans="2:17" ht="15.5" thickTop="1" thickBot="1" x14ac:dyDescent="0.4">
      <c r="B24" s="3">
        <v>0</v>
      </c>
      <c r="C24" s="35">
        <f>IFERROR(VLOOKUP(B24,GICS!$A:$B,2,0),0)</f>
        <v>0</v>
      </c>
      <c r="D24" s="36">
        <v>0</v>
      </c>
      <c r="E24" s="63">
        <v>0</v>
      </c>
      <c r="F24" s="5">
        <v>0</v>
      </c>
      <c r="G24" s="6">
        <f t="shared" ref="G24:G33" si="8">D24*F24/$F$44</f>
        <v>0</v>
      </c>
      <c r="H24" s="5">
        <v>0</v>
      </c>
      <c r="I24" s="5">
        <v>0</v>
      </c>
      <c r="J24" s="56" t="e">
        <f t="shared" si="7"/>
        <v>#DIV/0!</v>
      </c>
      <c r="K24" s="103">
        <f t="shared" si="4"/>
        <v>0</v>
      </c>
      <c r="L24" s="63">
        <f t="shared" ref="L24:L33" si="9">IF(K24&gt;0,IF(K24&gt;D24,(D24*E24+(K24-D24)*E64)/K24,E24),0)</f>
        <v>0</v>
      </c>
      <c r="M24" s="4">
        <f t="shared" ref="M24:M33" si="10">K24*H24</f>
        <v>0</v>
      </c>
      <c r="N24" s="37">
        <f t="shared" ref="N24:N33" si="11">M24/$M$44</f>
        <v>0</v>
      </c>
      <c r="O24" s="38">
        <f t="shared" ref="O24:O33" si="12">N24-G24</f>
        <v>0</v>
      </c>
    </row>
    <row r="25" spans="2:17" ht="15.5" thickTop="1" thickBot="1" x14ac:dyDescent="0.4">
      <c r="B25" s="3">
        <v>0</v>
      </c>
      <c r="C25" s="35">
        <f>IFERROR(VLOOKUP(B25,GICS!$A:$B,2,0),0)</f>
        <v>0</v>
      </c>
      <c r="D25" s="36">
        <v>0</v>
      </c>
      <c r="E25" s="63">
        <v>0</v>
      </c>
      <c r="F25" s="5">
        <v>0</v>
      </c>
      <c r="G25" s="6">
        <f t="shared" si="8"/>
        <v>0</v>
      </c>
      <c r="H25" s="5">
        <v>0</v>
      </c>
      <c r="I25" s="5">
        <v>0</v>
      </c>
      <c r="J25" s="56" t="e">
        <f t="shared" si="7"/>
        <v>#DIV/0!</v>
      </c>
      <c r="K25" s="103">
        <f t="shared" ref="K25:K33" si="13">D25+D65</f>
        <v>0</v>
      </c>
      <c r="L25" s="63">
        <f t="shared" si="9"/>
        <v>0</v>
      </c>
      <c r="M25" s="4">
        <f t="shared" si="10"/>
        <v>0</v>
      </c>
      <c r="N25" s="37">
        <f t="shared" si="11"/>
        <v>0</v>
      </c>
      <c r="O25" s="38">
        <f t="shared" si="12"/>
        <v>0</v>
      </c>
    </row>
    <row r="26" spans="2:17" ht="15.5" thickTop="1" thickBot="1" x14ac:dyDescent="0.4">
      <c r="B26" s="3">
        <v>0</v>
      </c>
      <c r="C26" s="35">
        <f>IFERROR(VLOOKUP(B26,GICS!$A:$B,2,0),0)</f>
        <v>0</v>
      </c>
      <c r="D26" s="36">
        <v>0</v>
      </c>
      <c r="E26" s="63">
        <v>0</v>
      </c>
      <c r="F26" s="5">
        <v>0</v>
      </c>
      <c r="G26" s="6">
        <f t="shared" si="8"/>
        <v>0</v>
      </c>
      <c r="H26" s="5">
        <v>0</v>
      </c>
      <c r="I26" s="5">
        <v>0</v>
      </c>
      <c r="J26" s="56" t="e">
        <f t="shared" si="7"/>
        <v>#DIV/0!</v>
      </c>
      <c r="K26" s="103">
        <f t="shared" si="13"/>
        <v>0</v>
      </c>
      <c r="L26" s="63">
        <f t="shared" si="9"/>
        <v>0</v>
      </c>
      <c r="M26" s="4">
        <f t="shared" si="10"/>
        <v>0</v>
      </c>
      <c r="N26" s="37">
        <f t="shared" si="11"/>
        <v>0</v>
      </c>
      <c r="O26" s="38">
        <f t="shared" si="12"/>
        <v>0</v>
      </c>
    </row>
    <row r="27" spans="2:17" ht="15.5" thickTop="1" thickBot="1" x14ac:dyDescent="0.4">
      <c r="B27" s="3">
        <v>0</v>
      </c>
      <c r="C27" s="35">
        <f>IFERROR(VLOOKUP(B27,GICS!$A:$B,2,0),0)</f>
        <v>0</v>
      </c>
      <c r="D27" s="36">
        <v>0</v>
      </c>
      <c r="E27" s="63">
        <v>0</v>
      </c>
      <c r="F27" s="5">
        <v>0</v>
      </c>
      <c r="G27" s="6">
        <f t="shared" si="8"/>
        <v>0</v>
      </c>
      <c r="H27" s="5">
        <v>0</v>
      </c>
      <c r="I27" s="5">
        <v>0</v>
      </c>
      <c r="J27" s="56" t="e">
        <f t="shared" si="7"/>
        <v>#DIV/0!</v>
      </c>
      <c r="K27" s="103">
        <f t="shared" si="13"/>
        <v>0</v>
      </c>
      <c r="L27" s="63">
        <f t="shared" si="9"/>
        <v>0</v>
      </c>
      <c r="M27" s="4">
        <f t="shared" si="10"/>
        <v>0</v>
      </c>
      <c r="N27" s="37">
        <f t="shared" si="11"/>
        <v>0</v>
      </c>
      <c r="O27" s="38">
        <f t="shared" si="12"/>
        <v>0</v>
      </c>
    </row>
    <row r="28" spans="2:17" ht="15.5" thickTop="1" thickBot="1" x14ac:dyDescent="0.4">
      <c r="B28" s="3">
        <v>0</v>
      </c>
      <c r="C28" s="35">
        <f>IFERROR(VLOOKUP(B28,GICS!$A:$B,2,0),0)</f>
        <v>0</v>
      </c>
      <c r="D28" s="36">
        <v>0</v>
      </c>
      <c r="E28" s="63">
        <v>0</v>
      </c>
      <c r="F28" s="5">
        <v>0</v>
      </c>
      <c r="G28" s="6">
        <f t="shared" si="8"/>
        <v>0</v>
      </c>
      <c r="H28" s="5">
        <v>0</v>
      </c>
      <c r="I28" s="5">
        <v>0</v>
      </c>
      <c r="J28" s="56" t="e">
        <f t="shared" si="7"/>
        <v>#DIV/0!</v>
      </c>
      <c r="K28" s="103">
        <f t="shared" si="13"/>
        <v>0</v>
      </c>
      <c r="L28" s="63">
        <f t="shared" si="9"/>
        <v>0</v>
      </c>
      <c r="M28" s="4">
        <f t="shared" si="10"/>
        <v>0</v>
      </c>
      <c r="N28" s="37">
        <f t="shared" si="11"/>
        <v>0</v>
      </c>
      <c r="O28" s="38">
        <f t="shared" si="12"/>
        <v>0</v>
      </c>
    </row>
    <row r="29" spans="2:17" ht="15.5" thickTop="1" thickBot="1" x14ac:dyDescent="0.4">
      <c r="B29" s="3">
        <v>0</v>
      </c>
      <c r="C29" s="35">
        <f>IFERROR(VLOOKUP(B29,GICS!$A:$B,2,0),0)</f>
        <v>0</v>
      </c>
      <c r="D29" s="36">
        <v>0</v>
      </c>
      <c r="E29" s="63">
        <v>0</v>
      </c>
      <c r="F29" s="5">
        <v>0</v>
      </c>
      <c r="G29" s="6">
        <f t="shared" si="8"/>
        <v>0</v>
      </c>
      <c r="H29" s="5">
        <v>0</v>
      </c>
      <c r="I29" s="5">
        <v>0</v>
      </c>
      <c r="J29" s="56" t="e">
        <f t="shared" si="7"/>
        <v>#DIV/0!</v>
      </c>
      <c r="K29" s="103">
        <f t="shared" si="13"/>
        <v>0</v>
      </c>
      <c r="L29" s="63">
        <f t="shared" si="9"/>
        <v>0</v>
      </c>
      <c r="M29" s="4">
        <f t="shared" si="10"/>
        <v>0</v>
      </c>
      <c r="N29" s="37">
        <f t="shared" si="11"/>
        <v>0</v>
      </c>
      <c r="O29" s="38">
        <f t="shared" si="12"/>
        <v>0</v>
      </c>
    </row>
    <row r="30" spans="2:17" ht="15.5" thickTop="1" thickBot="1" x14ac:dyDescent="0.4">
      <c r="B30" s="3">
        <v>0</v>
      </c>
      <c r="C30" s="35">
        <f>IFERROR(VLOOKUP(B30,GICS!$A:$B,2,0),0)</f>
        <v>0</v>
      </c>
      <c r="D30" s="36">
        <v>0</v>
      </c>
      <c r="E30" s="63">
        <v>0</v>
      </c>
      <c r="F30" s="5">
        <v>0</v>
      </c>
      <c r="G30" s="6">
        <f t="shared" si="8"/>
        <v>0</v>
      </c>
      <c r="H30" s="5">
        <v>0</v>
      </c>
      <c r="I30" s="5">
        <v>0</v>
      </c>
      <c r="J30" s="56" t="e">
        <f t="shared" si="7"/>
        <v>#DIV/0!</v>
      </c>
      <c r="K30" s="103">
        <f t="shared" si="13"/>
        <v>0</v>
      </c>
      <c r="L30" s="63">
        <f t="shared" si="9"/>
        <v>0</v>
      </c>
      <c r="M30" s="4">
        <f t="shared" si="10"/>
        <v>0</v>
      </c>
      <c r="N30" s="37">
        <f t="shared" si="11"/>
        <v>0</v>
      </c>
      <c r="O30" s="38">
        <f t="shared" si="12"/>
        <v>0</v>
      </c>
    </row>
    <row r="31" spans="2:17" ht="15.5" thickTop="1" thickBot="1" x14ac:dyDescent="0.4">
      <c r="B31" s="3">
        <v>0</v>
      </c>
      <c r="C31" s="35">
        <f>IFERROR(VLOOKUP(B31,GICS!$A:$B,2,0),0)</f>
        <v>0</v>
      </c>
      <c r="D31" s="36">
        <v>0</v>
      </c>
      <c r="E31" s="63">
        <v>0</v>
      </c>
      <c r="F31" s="5">
        <v>0</v>
      </c>
      <c r="G31" s="6">
        <f t="shared" si="8"/>
        <v>0</v>
      </c>
      <c r="H31" s="5">
        <v>0</v>
      </c>
      <c r="I31" s="5">
        <v>0</v>
      </c>
      <c r="J31" s="56" t="e">
        <f t="shared" si="7"/>
        <v>#DIV/0!</v>
      </c>
      <c r="K31" s="103">
        <f t="shared" si="13"/>
        <v>0</v>
      </c>
      <c r="L31" s="63">
        <f t="shared" si="9"/>
        <v>0</v>
      </c>
      <c r="M31" s="4">
        <f t="shared" si="10"/>
        <v>0</v>
      </c>
      <c r="N31" s="37">
        <f t="shared" si="11"/>
        <v>0</v>
      </c>
      <c r="O31" s="38">
        <f t="shared" si="12"/>
        <v>0</v>
      </c>
    </row>
    <row r="32" spans="2:17" ht="15.5" thickTop="1" thickBot="1" x14ac:dyDescent="0.4">
      <c r="B32" s="3">
        <v>0</v>
      </c>
      <c r="C32" s="35">
        <f>IFERROR(VLOOKUP(B32,GICS!$A:$B,2,0),0)</f>
        <v>0</v>
      </c>
      <c r="D32" s="36">
        <v>0</v>
      </c>
      <c r="E32" s="63">
        <v>0</v>
      </c>
      <c r="F32" s="5">
        <v>0</v>
      </c>
      <c r="G32" s="6">
        <f t="shared" si="8"/>
        <v>0</v>
      </c>
      <c r="H32" s="5">
        <v>0</v>
      </c>
      <c r="I32" s="5">
        <v>0</v>
      </c>
      <c r="J32" s="56" t="e">
        <f t="shared" si="7"/>
        <v>#DIV/0!</v>
      </c>
      <c r="K32" s="103">
        <f t="shared" si="13"/>
        <v>0</v>
      </c>
      <c r="L32" s="63">
        <f t="shared" si="9"/>
        <v>0</v>
      </c>
      <c r="M32" s="4">
        <f t="shared" si="10"/>
        <v>0</v>
      </c>
      <c r="N32" s="37">
        <f t="shared" si="11"/>
        <v>0</v>
      </c>
      <c r="O32" s="38">
        <f t="shared" si="12"/>
        <v>0</v>
      </c>
    </row>
    <row r="33" spans="2:15" ht="15.5" thickTop="1" thickBot="1" x14ac:dyDescent="0.4">
      <c r="B33" s="3">
        <v>0</v>
      </c>
      <c r="C33" s="35">
        <f>IFERROR(VLOOKUP(B33,GICS!$A:$B,2,0),0)</f>
        <v>0</v>
      </c>
      <c r="D33" s="36">
        <v>0</v>
      </c>
      <c r="E33" s="63">
        <v>0</v>
      </c>
      <c r="F33" s="5">
        <v>0</v>
      </c>
      <c r="G33" s="6">
        <f t="shared" si="8"/>
        <v>0</v>
      </c>
      <c r="H33" s="5">
        <v>0</v>
      </c>
      <c r="I33" s="5">
        <v>0</v>
      </c>
      <c r="J33" s="56" t="e">
        <f t="shared" si="7"/>
        <v>#DIV/0!</v>
      </c>
      <c r="K33" s="103">
        <f t="shared" si="13"/>
        <v>0</v>
      </c>
      <c r="L33" s="63">
        <f t="shared" si="9"/>
        <v>0</v>
      </c>
      <c r="M33" s="4">
        <f t="shared" si="10"/>
        <v>0</v>
      </c>
      <c r="N33" s="37">
        <f t="shared" si="11"/>
        <v>0</v>
      </c>
      <c r="O33" s="38">
        <f t="shared" si="12"/>
        <v>0</v>
      </c>
    </row>
    <row r="34" spans="2:15" ht="15.5" thickTop="1" thickBot="1" x14ac:dyDescent="0.4">
      <c r="B34" s="3">
        <v>0</v>
      </c>
      <c r="C34" s="35">
        <f>IFERROR(VLOOKUP(B34,GICS!$A:$B,2,0),0)</f>
        <v>0</v>
      </c>
      <c r="D34" s="36">
        <v>0</v>
      </c>
      <c r="E34" s="63">
        <v>0</v>
      </c>
      <c r="F34" s="5">
        <v>0</v>
      </c>
      <c r="G34" s="6">
        <f t="shared" ref="G34:G41" si="14">D34*F34/$F$44</f>
        <v>0</v>
      </c>
      <c r="H34" s="5">
        <v>0</v>
      </c>
      <c r="I34" s="5">
        <v>0</v>
      </c>
      <c r="J34" s="56" t="e">
        <f t="shared" ref="J34:J41" si="15">(H34+I34/D34)/F34-1</f>
        <v>#DIV/0!</v>
      </c>
      <c r="K34" s="103">
        <f>D34+F73</f>
        <v>0</v>
      </c>
      <c r="L34" s="63">
        <f>IF(K34&gt;0,IF(K34&gt;D34,(D34*E34+(K34-D34)*G73)/K34,E34),0)</f>
        <v>0</v>
      </c>
      <c r="M34" s="4">
        <f t="shared" ref="M34:M41" si="16">K34*H34</f>
        <v>0</v>
      </c>
      <c r="N34" s="37">
        <f t="shared" ref="N34:N42" si="17">M34/$M$44</f>
        <v>0</v>
      </c>
      <c r="O34" s="38">
        <f t="shared" ref="O34:O41" si="18">N34-G34</f>
        <v>0</v>
      </c>
    </row>
    <row r="35" spans="2:15" ht="15.5" thickTop="1" thickBot="1" x14ac:dyDescent="0.4">
      <c r="B35" s="3">
        <v>0</v>
      </c>
      <c r="C35" s="35">
        <f>IFERROR(VLOOKUP(B35,GICS!$A:$B,2,0),0)</f>
        <v>0</v>
      </c>
      <c r="D35" s="36">
        <v>0</v>
      </c>
      <c r="E35" s="63">
        <v>0</v>
      </c>
      <c r="F35" s="5">
        <v>0</v>
      </c>
      <c r="G35" s="6">
        <f t="shared" si="14"/>
        <v>0</v>
      </c>
      <c r="H35" s="5">
        <v>0</v>
      </c>
      <c r="I35" s="5">
        <v>0</v>
      </c>
      <c r="J35" s="56" t="e">
        <f t="shared" si="15"/>
        <v>#DIV/0!</v>
      </c>
      <c r="K35" s="103">
        <f>D35+F74</f>
        <v>0</v>
      </c>
      <c r="L35" s="63">
        <f>IF(K35&gt;0,IF(K35&gt;D35,(D35*E35+(K35-D35)*G74)/K35,E35),0)</f>
        <v>0</v>
      </c>
      <c r="M35" s="4">
        <f t="shared" si="16"/>
        <v>0</v>
      </c>
      <c r="N35" s="37">
        <f t="shared" si="17"/>
        <v>0</v>
      </c>
      <c r="O35" s="38">
        <f t="shared" si="18"/>
        <v>0</v>
      </c>
    </row>
    <row r="36" spans="2:15" ht="15.5" thickTop="1" thickBot="1" x14ac:dyDescent="0.4">
      <c r="B36" s="3">
        <v>0</v>
      </c>
      <c r="C36" s="35">
        <f>IFERROR(VLOOKUP(B36,GICS!$A:$B,2,0),0)</f>
        <v>0</v>
      </c>
      <c r="D36" s="36">
        <v>0</v>
      </c>
      <c r="E36" s="63">
        <v>0</v>
      </c>
      <c r="F36" s="5">
        <v>0</v>
      </c>
      <c r="G36" s="6">
        <f t="shared" si="14"/>
        <v>0</v>
      </c>
      <c r="H36" s="5">
        <v>0</v>
      </c>
      <c r="I36" s="5">
        <v>0</v>
      </c>
      <c r="J36" s="56" t="e">
        <f t="shared" si="15"/>
        <v>#DIV/0!</v>
      </c>
      <c r="K36" s="103">
        <f t="shared" ref="K36:K41" si="19">D36+F83</f>
        <v>0</v>
      </c>
      <c r="L36" s="63">
        <f t="shared" ref="L36:L41" si="20">IF(K36&gt;0,IF(K36&gt;D36,(D36*E36+(K36-D36)*G83)/K36,E36),0)</f>
        <v>0</v>
      </c>
      <c r="M36" s="4">
        <f t="shared" si="16"/>
        <v>0</v>
      </c>
      <c r="N36" s="37">
        <f t="shared" si="17"/>
        <v>0</v>
      </c>
      <c r="O36" s="38">
        <f t="shared" si="18"/>
        <v>0</v>
      </c>
    </row>
    <row r="37" spans="2:15" ht="15.5" thickTop="1" thickBot="1" x14ac:dyDescent="0.4">
      <c r="B37" s="3">
        <v>0</v>
      </c>
      <c r="C37" s="35">
        <f>IFERROR(VLOOKUP(B37,GICS!$A:$B,2,0),0)</f>
        <v>0</v>
      </c>
      <c r="D37" s="36">
        <v>0</v>
      </c>
      <c r="E37" s="63">
        <v>0</v>
      </c>
      <c r="F37" s="5">
        <v>0</v>
      </c>
      <c r="G37" s="6">
        <f t="shared" si="14"/>
        <v>0</v>
      </c>
      <c r="H37" s="5">
        <v>0</v>
      </c>
      <c r="I37" s="5">
        <v>0</v>
      </c>
      <c r="J37" s="56" t="e">
        <f t="shared" si="15"/>
        <v>#DIV/0!</v>
      </c>
      <c r="K37" s="103">
        <f t="shared" si="19"/>
        <v>0</v>
      </c>
      <c r="L37" s="63">
        <f t="shared" si="20"/>
        <v>0</v>
      </c>
      <c r="M37" s="4">
        <f t="shared" si="16"/>
        <v>0</v>
      </c>
      <c r="N37" s="37">
        <f t="shared" si="17"/>
        <v>0</v>
      </c>
      <c r="O37" s="38">
        <f t="shared" si="18"/>
        <v>0</v>
      </c>
    </row>
    <row r="38" spans="2:15" ht="15.5" thickTop="1" thickBot="1" x14ac:dyDescent="0.4">
      <c r="B38" s="3">
        <v>0</v>
      </c>
      <c r="C38" s="35">
        <f>IFERROR(VLOOKUP(B38,GICS!$A:$B,2,0),0)</f>
        <v>0</v>
      </c>
      <c r="D38" s="36">
        <v>0</v>
      </c>
      <c r="E38" s="63">
        <v>0</v>
      </c>
      <c r="F38" s="5">
        <v>0</v>
      </c>
      <c r="G38" s="6">
        <f t="shared" si="14"/>
        <v>0</v>
      </c>
      <c r="H38" s="5">
        <v>0</v>
      </c>
      <c r="I38" s="5">
        <v>0</v>
      </c>
      <c r="J38" s="56" t="e">
        <f t="shared" si="15"/>
        <v>#DIV/0!</v>
      </c>
      <c r="K38" s="103">
        <f t="shared" si="19"/>
        <v>0</v>
      </c>
      <c r="L38" s="63">
        <f t="shared" si="20"/>
        <v>0</v>
      </c>
      <c r="M38" s="4">
        <f t="shared" si="16"/>
        <v>0</v>
      </c>
      <c r="N38" s="37">
        <f t="shared" si="17"/>
        <v>0</v>
      </c>
      <c r="O38" s="38">
        <f t="shared" si="18"/>
        <v>0</v>
      </c>
    </row>
    <row r="39" spans="2:15" ht="15.5" thickTop="1" thickBot="1" x14ac:dyDescent="0.4">
      <c r="B39" s="3">
        <v>0</v>
      </c>
      <c r="C39" s="35">
        <f>IFERROR(VLOOKUP(B39,GICS!$A:$B,2,0),0)</f>
        <v>0</v>
      </c>
      <c r="D39" s="36">
        <v>0</v>
      </c>
      <c r="E39" s="63">
        <v>0</v>
      </c>
      <c r="F39" s="5">
        <v>0</v>
      </c>
      <c r="G39" s="6">
        <f t="shared" si="14"/>
        <v>0</v>
      </c>
      <c r="H39" s="5">
        <v>0</v>
      </c>
      <c r="I39" s="5">
        <v>0</v>
      </c>
      <c r="J39" s="56" t="e">
        <f t="shared" si="15"/>
        <v>#DIV/0!</v>
      </c>
      <c r="K39" s="103">
        <f t="shared" si="19"/>
        <v>0</v>
      </c>
      <c r="L39" s="63">
        <f t="shared" si="20"/>
        <v>0</v>
      </c>
      <c r="M39" s="4">
        <f t="shared" si="16"/>
        <v>0</v>
      </c>
      <c r="N39" s="37">
        <f t="shared" si="17"/>
        <v>0</v>
      </c>
      <c r="O39" s="38">
        <f t="shared" si="18"/>
        <v>0</v>
      </c>
    </row>
    <row r="40" spans="2:15" ht="15.5" thickTop="1" thickBot="1" x14ac:dyDescent="0.4">
      <c r="B40" s="3">
        <v>0</v>
      </c>
      <c r="C40" s="35">
        <f>IFERROR(VLOOKUP(B40,GICS!$A:$B,2,0),0)</f>
        <v>0</v>
      </c>
      <c r="D40" s="36">
        <v>0</v>
      </c>
      <c r="E40" s="63">
        <v>0</v>
      </c>
      <c r="F40" s="5">
        <v>0</v>
      </c>
      <c r="G40" s="6">
        <f t="shared" si="14"/>
        <v>0</v>
      </c>
      <c r="H40" s="5">
        <v>0</v>
      </c>
      <c r="I40" s="5">
        <v>0</v>
      </c>
      <c r="J40" s="56" t="e">
        <f t="shared" si="15"/>
        <v>#DIV/0!</v>
      </c>
      <c r="K40" s="103">
        <f t="shared" si="19"/>
        <v>0</v>
      </c>
      <c r="L40" s="63">
        <f t="shared" si="20"/>
        <v>0</v>
      </c>
      <c r="M40" s="4">
        <f t="shared" si="16"/>
        <v>0</v>
      </c>
      <c r="N40" s="37">
        <f t="shared" si="17"/>
        <v>0</v>
      </c>
      <c r="O40" s="38">
        <f t="shared" si="18"/>
        <v>0</v>
      </c>
    </row>
    <row r="41" spans="2:15" ht="15.5" thickTop="1" thickBot="1" x14ac:dyDescent="0.4">
      <c r="B41" s="3">
        <v>0</v>
      </c>
      <c r="C41" s="35">
        <f>IFERROR(VLOOKUP(B41,GICS!$A:$B,2,0),0)</f>
        <v>0</v>
      </c>
      <c r="D41" s="36">
        <v>0</v>
      </c>
      <c r="E41" s="63">
        <v>0</v>
      </c>
      <c r="F41" s="5">
        <v>0</v>
      </c>
      <c r="G41" s="6">
        <f t="shared" si="14"/>
        <v>0</v>
      </c>
      <c r="H41" s="5">
        <v>0</v>
      </c>
      <c r="I41" s="5">
        <v>0</v>
      </c>
      <c r="J41" s="56" t="e">
        <f t="shared" si="15"/>
        <v>#DIV/0!</v>
      </c>
      <c r="K41" s="103">
        <f t="shared" si="19"/>
        <v>0</v>
      </c>
      <c r="L41" s="63">
        <f t="shared" si="20"/>
        <v>0</v>
      </c>
      <c r="M41" s="4">
        <f t="shared" si="16"/>
        <v>0</v>
      </c>
      <c r="N41" s="37">
        <f t="shared" si="17"/>
        <v>0</v>
      </c>
      <c r="O41" s="38">
        <f t="shared" si="18"/>
        <v>0</v>
      </c>
    </row>
    <row r="42" spans="2:15" ht="15.5" thickTop="1" thickBot="1" x14ac:dyDescent="0.4">
      <c r="B42" s="3" t="s">
        <v>7</v>
      </c>
      <c r="C42" s="35"/>
      <c r="D42" s="39">
        <v>165.96333569693525</v>
      </c>
      <c r="E42" s="59">
        <v>0</v>
      </c>
      <c r="F42" s="59">
        <v>0</v>
      </c>
      <c r="G42" s="58">
        <f>D42/$F$44</f>
        <v>4.270029510256697E-3</v>
      </c>
      <c r="H42" s="40">
        <f>D42*(1+H2)^(180/360)</f>
        <v>165.96333569693525</v>
      </c>
      <c r="I42" s="57"/>
      <c r="J42" s="134">
        <f>H42/D42-1</f>
        <v>0</v>
      </c>
      <c r="K42" s="41">
        <f>H42+I44-SUMPRODUCT(D47:D63,E47:E63)</f>
        <v>201.84416596579513</v>
      </c>
      <c r="L42" s="55"/>
      <c r="M42" s="42">
        <f>K42</f>
        <v>201.84416596579513</v>
      </c>
      <c r="N42" s="43">
        <f t="shared" si="17"/>
        <v>4.6439098131642797E-3</v>
      </c>
      <c r="O42" s="38">
        <f>N42-G42</f>
        <v>3.7388030290758274E-4</v>
      </c>
    </row>
    <row r="43" spans="2:15" ht="15.5" thickTop="1" thickBot="1" x14ac:dyDescent="0.4">
      <c r="B43" s="20"/>
      <c r="C43" s="20"/>
      <c r="D43" s="44"/>
      <c r="E43" s="44"/>
      <c r="F43" s="45"/>
      <c r="G43" s="45"/>
      <c r="H43" s="46"/>
      <c r="I43" s="46"/>
      <c r="J43" s="46"/>
      <c r="K43" s="44"/>
      <c r="L43" s="44"/>
      <c r="M43" s="45"/>
      <c r="N43" s="46"/>
      <c r="O43" s="22"/>
    </row>
    <row r="44" spans="2:15" ht="15.5" thickTop="1" thickBot="1" x14ac:dyDescent="0.4">
      <c r="B44" s="9" t="s">
        <v>10</v>
      </c>
      <c r="C44" s="9"/>
      <c r="D44" s="9"/>
      <c r="E44" s="48"/>
      <c r="F44" s="10">
        <f>SUMPRODUCT(D7:D23,F7:F23)+D42</f>
        <v>38867.02311969694</v>
      </c>
      <c r="G44" s="11">
        <f>SUM(G7:G42)</f>
        <v>0.99999999999999978</v>
      </c>
      <c r="H44" s="48">
        <f>SUMPRODUCT(D7:D23,H7:H23)+H42</f>
        <v>43167.293443385839</v>
      </c>
      <c r="I44" s="48">
        <f>SUM(I7:I42)</f>
        <v>296.98</v>
      </c>
      <c r="J44" s="13">
        <f>(H44+I44)/F44-1</f>
        <v>0.11828151359909822</v>
      </c>
      <c r="K44" s="102" t="s">
        <v>120</v>
      </c>
      <c r="L44" s="47"/>
      <c r="M44" s="48">
        <f>SUM(M7:M42)</f>
        <v>43464.273443385842</v>
      </c>
      <c r="N44" s="47">
        <f>SUM(N7:N42)</f>
        <v>0.99999999999999978</v>
      </c>
      <c r="O44" s="47">
        <f>SUMIF(O7:O42,"&gt;0",O7:O42)</f>
        <v>0.63350825238980979</v>
      </c>
    </row>
    <row r="45" spans="2:15" ht="15.5" thickTop="1" thickBot="1" x14ac:dyDescent="0.4">
      <c r="B45" s="49"/>
      <c r="C45" s="49"/>
      <c r="D45" s="49"/>
      <c r="E45" s="49"/>
      <c r="F45" s="50"/>
      <c r="G45" s="50"/>
      <c r="H45" s="51"/>
      <c r="I45" s="101"/>
      <c r="J45" s="13">
        <f>LN((H44+I44)/F44)</f>
        <v>0.11179314410887672</v>
      </c>
      <c r="K45" s="22" t="s">
        <v>119</v>
      </c>
      <c r="L45" s="51"/>
      <c r="M45" s="52"/>
      <c r="N45" s="51"/>
      <c r="O45" s="20"/>
    </row>
    <row r="46" spans="2:15" ht="15.5" thickTop="1" thickBot="1" x14ac:dyDescent="0.4">
      <c r="B46" s="53" t="str">
        <f>CONCATENATE("Movimientos ",TEXT(D2,"dd-mm-yyyy")," (precios MXN cierre):")</f>
        <v>Movimientos 02-05-2025 (precios MXN cierre):</v>
      </c>
      <c r="C46" s="20"/>
      <c r="D46" s="65" t="s">
        <v>25</v>
      </c>
      <c r="E46" s="66" t="s">
        <v>24</v>
      </c>
      <c r="H46" s="20"/>
      <c r="I46" s="20"/>
      <c r="J46" s="20"/>
      <c r="K46" s="20"/>
      <c r="L46" s="20"/>
      <c r="M46" s="20"/>
      <c r="N46" s="20"/>
      <c r="O46" s="20"/>
    </row>
    <row r="47" spans="2:15" ht="15.5" thickTop="1" thickBot="1" x14ac:dyDescent="0.4">
      <c r="B47" s="3" t="str">
        <f>B7</f>
        <v>ALSEA</v>
      </c>
      <c r="C47" s="35" t="str">
        <f>C7</f>
        <v>Alsea SA</v>
      </c>
      <c r="D47" s="67">
        <v>-14</v>
      </c>
      <c r="E47" s="5">
        <f t="shared" ref="E47:E63" si="21">H7</f>
        <v>43.970001220703125</v>
      </c>
      <c r="H47" s="20"/>
      <c r="I47" s="68"/>
      <c r="J47" s="20"/>
      <c r="K47" s="20"/>
      <c r="L47" s="20"/>
      <c r="M47" s="20"/>
      <c r="N47" s="156"/>
      <c r="O47" s="156"/>
    </row>
    <row r="48" spans="2:15" ht="15.5" thickTop="1" thickBot="1" x14ac:dyDescent="0.4">
      <c r="B48" s="3" t="str">
        <f t="shared" ref="B48:C48" si="22">B8</f>
        <v>LIVEPOLC-1</v>
      </c>
      <c r="C48" s="35" t="str">
        <f t="shared" si="22"/>
        <v>El Puerto de Liverpool SAB de CV</v>
      </c>
      <c r="D48" s="67">
        <v>-5</v>
      </c>
      <c r="E48" s="5">
        <f t="shared" si="21"/>
        <v>90.30999755859375</v>
      </c>
      <c r="H48" s="20"/>
      <c r="I48" s="68"/>
      <c r="J48" s="20"/>
      <c r="K48" s="20"/>
      <c r="L48" s="20"/>
      <c r="M48" s="20"/>
      <c r="N48" s="20"/>
      <c r="O48" s="20"/>
    </row>
    <row r="49" spans="2:15" ht="15.5" thickTop="1" thickBot="1" x14ac:dyDescent="0.4">
      <c r="B49" s="3" t="str">
        <f t="shared" ref="B49:C49" si="23">B9</f>
        <v>GAPB</v>
      </c>
      <c r="C49" s="35" t="str">
        <f t="shared" si="23"/>
        <v>Grupo Aeroportuario del Pacifico, S.A.B. de C.V.</v>
      </c>
      <c r="D49" s="67">
        <v>-11</v>
      </c>
      <c r="E49" s="5">
        <f t="shared" si="21"/>
        <v>397.3800048828125</v>
      </c>
      <c r="H49" s="20"/>
      <c r="I49" s="68"/>
      <c r="J49" s="20"/>
      <c r="K49" s="20"/>
      <c r="L49" s="20"/>
      <c r="M49" s="20"/>
      <c r="N49" s="20"/>
      <c r="O49" s="20"/>
    </row>
    <row r="50" spans="2:15" ht="15.5" thickTop="1" thickBot="1" x14ac:dyDescent="0.4">
      <c r="B50" s="3" t="str">
        <f t="shared" ref="B50:C50" si="24">B10</f>
        <v>WALMEX</v>
      </c>
      <c r="C50" s="35" t="str">
        <f t="shared" si="24"/>
        <v>Walmart de Mexico SAB de CV</v>
      </c>
      <c r="D50" s="67">
        <v>-70</v>
      </c>
      <c r="E50" s="5">
        <f t="shared" si="21"/>
        <v>62.130001068115234</v>
      </c>
      <c r="H50" s="20"/>
      <c r="I50" s="68"/>
      <c r="J50" s="20"/>
      <c r="K50" s="20"/>
      <c r="L50" s="20"/>
      <c r="M50" s="20"/>
      <c r="N50" s="20"/>
      <c r="O50" s="20"/>
    </row>
    <row r="51" spans="2:15" ht="15.5" thickTop="1" thickBot="1" x14ac:dyDescent="0.4">
      <c r="B51" s="3" t="str">
        <f t="shared" ref="B51:C51" si="25">B11</f>
        <v>CEMEXCPO</v>
      </c>
      <c r="C51" s="35" t="str">
        <f t="shared" si="25"/>
        <v>Cemex SA CPO</v>
      </c>
      <c r="D51" s="67">
        <v>-371</v>
      </c>
      <c r="E51" s="5">
        <f t="shared" si="21"/>
        <v>12.130000114440918</v>
      </c>
      <c r="H51" s="20"/>
      <c r="I51" s="68"/>
      <c r="J51" s="20"/>
      <c r="K51" s="20"/>
      <c r="L51" s="20"/>
      <c r="M51" s="20"/>
      <c r="N51" s="20"/>
      <c r="O51" s="20"/>
    </row>
    <row r="52" spans="2:15" ht="15.5" thickTop="1" thickBot="1" x14ac:dyDescent="0.4">
      <c r="B52" s="3" t="str">
        <f t="shared" ref="B52:C52" si="26">B12</f>
        <v>PE&amp;OLES</v>
      </c>
      <c r="C52" s="35" t="str">
        <f t="shared" si="26"/>
        <v>Industrias Penoles</v>
      </c>
      <c r="D52" s="67">
        <v>1</v>
      </c>
      <c r="E52" s="5">
        <f t="shared" si="21"/>
        <v>392.989990234375</v>
      </c>
      <c r="H52" s="20"/>
      <c r="I52" s="68"/>
      <c r="J52" s="20"/>
      <c r="K52" s="20"/>
      <c r="L52" s="20"/>
      <c r="M52" s="20"/>
      <c r="N52" s="20"/>
      <c r="O52" s="20"/>
    </row>
    <row r="53" spans="2:15" ht="15.5" thickTop="1" thickBot="1" x14ac:dyDescent="0.4">
      <c r="B53" s="3" t="str">
        <f t="shared" ref="B53:C53" si="27">B13</f>
        <v>BBAJIOO</v>
      </c>
      <c r="C53" s="35" t="str">
        <f t="shared" si="27"/>
        <v>Banco del Bajio, S.A.</v>
      </c>
      <c r="D53" s="67">
        <v>-88</v>
      </c>
      <c r="E53" s="5">
        <f t="shared" si="21"/>
        <v>47.060001373291016</v>
      </c>
      <c r="H53" s="20"/>
      <c r="I53" s="68"/>
      <c r="J53" s="20"/>
      <c r="K53" s="20"/>
      <c r="L53" s="20"/>
      <c r="M53" s="20"/>
      <c r="N53" s="20"/>
      <c r="O53" s="20"/>
    </row>
    <row r="54" spans="2:15" ht="15.5" thickTop="1" thickBot="1" x14ac:dyDescent="0.4">
      <c r="B54" s="3" t="str">
        <f t="shared" ref="B54:C54" si="28">B14</f>
        <v>CUERVO</v>
      </c>
      <c r="C54" s="35" t="str">
        <f t="shared" si="28"/>
        <v>Becle, S.A. De C.V.</v>
      </c>
      <c r="D54" s="67">
        <v>-19</v>
      </c>
      <c r="E54" s="5">
        <f t="shared" si="21"/>
        <v>22.670000076293945</v>
      </c>
      <c r="H54" s="20"/>
      <c r="I54" s="68"/>
      <c r="J54" s="20"/>
      <c r="K54" s="20"/>
      <c r="L54" s="20"/>
      <c r="M54" s="20"/>
      <c r="N54" s="20"/>
      <c r="O54" s="20"/>
    </row>
    <row r="55" spans="2:15" ht="15.5" thickTop="1" thickBot="1" x14ac:dyDescent="0.4">
      <c r="B55" s="3" t="str">
        <f t="shared" ref="B55:C55" si="29">B15</f>
        <v>KIMBERA</v>
      </c>
      <c r="C55" s="35" t="str">
        <f t="shared" si="29"/>
        <v>Kimberly Clark de Mexico S.A.B. de C.V. A</v>
      </c>
      <c r="D55" s="67">
        <v>-135</v>
      </c>
      <c r="E55" s="5">
        <f t="shared" si="21"/>
        <v>34.5</v>
      </c>
      <c r="H55" s="20"/>
      <c r="I55" s="68"/>
      <c r="J55" s="20"/>
      <c r="K55" s="20"/>
      <c r="L55" s="20"/>
      <c r="M55" s="20"/>
      <c r="N55" s="20"/>
      <c r="O55" s="20"/>
    </row>
    <row r="56" spans="2:15" ht="15.5" thickTop="1" thickBot="1" x14ac:dyDescent="0.4">
      <c r="B56" s="3" t="str">
        <f t="shared" ref="B56:C56" si="30">B16</f>
        <v>Q</v>
      </c>
      <c r="C56" s="35" t="str">
        <f t="shared" si="30"/>
        <v>Qualitas Controladora S.A.B de C.V.</v>
      </c>
      <c r="D56" s="67">
        <v>-15</v>
      </c>
      <c r="E56" s="5">
        <f t="shared" si="21"/>
        <v>216.94999694824219</v>
      </c>
      <c r="H56" s="20"/>
      <c r="I56" s="68"/>
      <c r="J56" s="20"/>
      <c r="K56" s="20"/>
      <c r="L56" s="20"/>
      <c r="M56" s="20"/>
      <c r="N56" s="20"/>
      <c r="O56" s="20"/>
    </row>
    <row r="57" spans="2:15" ht="15.5" thickTop="1" thickBot="1" x14ac:dyDescent="0.4">
      <c r="B57" s="3" t="str">
        <f t="shared" ref="B57:C57" si="31">B17</f>
        <v>BOLSAA</v>
      </c>
      <c r="C57" s="35" t="str">
        <f t="shared" si="31"/>
        <v>Bolsa Mexicana de Valores SA de CV</v>
      </c>
      <c r="D57" s="67">
        <v>123</v>
      </c>
      <c r="E57" s="5">
        <f t="shared" si="21"/>
        <v>41.319999694824219</v>
      </c>
      <c r="H57" s="20"/>
      <c r="I57" s="68"/>
      <c r="J57" s="20"/>
      <c r="K57" s="20"/>
      <c r="L57" s="20"/>
      <c r="M57" s="20"/>
      <c r="N57" s="20"/>
      <c r="O57" s="20"/>
    </row>
    <row r="58" spans="2:15" ht="15.5" thickTop="1" thickBot="1" x14ac:dyDescent="0.4">
      <c r="B58" s="3" t="str">
        <f t="shared" ref="B58:C58" si="32">B18</f>
        <v>GENTERA</v>
      </c>
      <c r="C58" s="35" t="str">
        <f t="shared" si="32"/>
        <v>Gentera SAB de CV</v>
      </c>
      <c r="D58" s="67">
        <v>148</v>
      </c>
      <c r="E58" s="5">
        <f t="shared" si="21"/>
        <v>34.189998626708984</v>
      </c>
      <c r="H58" s="20"/>
      <c r="I58" s="68"/>
      <c r="J58" s="20"/>
      <c r="K58" s="20"/>
      <c r="L58" s="20"/>
      <c r="M58" s="20"/>
      <c r="N58" s="20"/>
      <c r="O58" s="20"/>
    </row>
    <row r="59" spans="2:15" ht="15.5" thickTop="1" thickBot="1" x14ac:dyDescent="0.4">
      <c r="B59" s="3" t="str">
        <f t="shared" ref="B59:C59" si="33">B19</f>
        <v>GFNORTEO</v>
      </c>
      <c r="C59" s="35" t="str">
        <f t="shared" si="33"/>
        <v>Grupo Financiero Banorte O</v>
      </c>
      <c r="D59" s="67">
        <v>17</v>
      </c>
      <c r="E59" s="5">
        <f t="shared" si="21"/>
        <v>168.14999389648438</v>
      </c>
      <c r="H59" s="20"/>
      <c r="I59" s="68"/>
      <c r="J59" s="20"/>
      <c r="K59" s="20"/>
      <c r="L59" s="20"/>
      <c r="M59" s="20"/>
      <c r="N59" s="20"/>
      <c r="O59" s="20"/>
    </row>
    <row r="60" spans="2:15" ht="15.5" thickTop="1" thickBot="1" x14ac:dyDescent="0.4">
      <c r="B60" s="3" t="str">
        <f t="shared" ref="B60:C60" si="34">B20</f>
        <v>MEGACPO</v>
      </c>
      <c r="C60" s="35" t="str">
        <f t="shared" si="34"/>
        <v>Megacable Holdings SAB de CV</v>
      </c>
      <c r="D60" s="67">
        <v>61</v>
      </c>
      <c r="E60" s="5">
        <f t="shared" si="21"/>
        <v>47.700000762939453</v>
      </c>
      <c r="H60" s="20"/>
      <c r="I60" s="68"/>
      <c r="J60" s="20"/>
      <c r="K60" s="20"/>
      <c r="L60" s="20"/>
      <c r="M60" s="20"/>
      <c r="N60" s="20"/>
      <c r="O60" s="20"/>
    </row>
    <row r="61" spans="2:15" ht="15.5" thickTop="1" thickBot="1" x14ac:dyDescent="0.4">
      <c r="B61" s="3" t="str">
        <f t="shared" ref="B61:C61" si="35">B21</f>
        <v>OMAB</v>
      </c>
      <c r="C61" s="35" t="str">
        <f t="shared" si="35"/>
        <v>Grupo Aeroportuario del Centro Norte, S.A.B. de C.V.</v>
      </c>
      <c r="D61" s="67">
        <v>13</v>
      </c>
      <c r="E61" s="5">
        <f t="shared" si="21"/>
        <v>215.78999328613281</v>
      </c>
      <c r="H61" s="20"/>
      <c r="I61" s="68"/>
      <c r="J61" s="20"/>
      <c r="K61" s="20"/>
      <c r="L61" s="20"/>
      <c r="M61" s="20"/>
      <c r="N61" s="20"/>
      <c r="O61" s="20"/>
    </row>
    <row r="62" spans="2:15" ht="15.5" thickTop="1" thickBot="1" x14ac:dyDescent="0.4">
      <c r="B62" s="3" t="str">
        <f t="shared" ref="B62:C62" si="36">B22</f>
        <v>ORBIA</v>
      </c>
      <c r="C62" s="35" t="str">
        <f t="shared" si="36"/>
        <v>ORBIA ADVANCE CORPORATION SAB de CV</v>
      </c>
      <c r="D62" s="67">
        <v>383</v>
      </c>
      <c r="E62" s="5">
        <f t="shared" si="21"/>
        <v>13.239999771118164</v>
      </c>
      <c r="H62" s="20"/>
      <c r="I62" s="68"/>
      <c r="J62" s="20"/>
      <c r="K62" s="20"/>
      <c r="L62" s="20"/>
      <c r="M62" s="20"/>
      <c r="N62" s="20"/>
      <c r="O62" s="20"/>
    </row>
    <row r="63" spans="2:15" ht="15.5" thickTop="1" thickBot="1" x14ac:dyDescent="0.4">
      <c r="B63" s="3" t="str">
        <f t="shared" ref="B63:C63" si="37">B23</f>
        <v>PINFRA</v>
      </c>
      <c r="C63" s="35" t="str">
        <f t="shared" si="37"/>
        <v>Promotora y Operadora de Infraestructura SAB de CV</v>
      </c>
      <c r="D63" s="67">
        <v>13</v>
      </c>
      <c r="E63" s="5">
        <f t="shared" si="21"/>
        <v>219.42999267578125</v>
      </c>
      <c r="H63" s="20"/>
      <c r="I63" s="68"/>
      <c r="J63" s="20"/>
      <c r="K63" s="20"/>
      <c r="L63" s="20"/>
      <c r="M63" s="20"/>
      <c r="N63" s="20"/>
      <c r="O63" s="20"/>
    </row>
    <row r="64" spans="2:15" ht="15.5" thickTop="1" thickBot="1" x14ac:dyDescent="0.4">
      <c r="B64" s="3">
        <f t="shared" ref="B64:C64" si="38">B24</f>
        <v>0</v>
      </c>
      <c r="C64" s="35">
        <f t="shared" si="38"/>
        <v>0</v>
      </c>
      <c r="D64" s="67">
        <v>0</v>
      </c>
      <c r="E64" s="5">
        <f t="shared" ref="E64" si="39">H24</f>
        <v>0</v>
      </c>
      <c r="F64" s="97"/>
      <c r="G64" s="68"/>
      <c r="H64" s="20"/>
      <c r="I64" s="68"/>
      <c r="J64" s="20"/>
      <c r="K64" s="20"/>
      <c r="L64" s="20"/>
      <c r="M64" s="20"/>
      <c r="N64" s="20"/>
      <c r="O64" s="20"/>
    </row>
    <row r="65" spans="2:15" ht="15.5" thickTop="1" thickBot="1" x14ac:dyDescent="0.4">
      <c r="B65" s="3">
        <f t="shared" ref="B65:C65" si="40">B25</f>
        <v>0</v>
      </c>
      <c r="C65" s="35">
        <f t="shared" si="40"/>
        <v>0</v>
      </c>
      <c r="D65" s="67">
        <v>0</v>
      </c>
      <c r="E65" s="5">
        <f t="shared" ref="E65:E81" si="41">H25</f>
        <v>0</v>
      </c>
      <c r="F65" s="97"/>
      <c r="G65" s="68"/>
      <c r="H65" s="20"/>
      <c r="I65" s="68"/>
      <c r="J65" s="20"/>
      <c r="K65" s="20"/>
      <c r="L65" s="20"/>
      <c r="M65" s="20"/>
      <c r="N65" s="20"/>
      <c r="O65" s="20"/>
    </row>
    <row r="66" spans="2:15" ht="15.5" thickTop="1" thickBot="1" x14ac:dyDescent="0.4">
      <c r="B66" s="3">
        <f t="shared" ref="B66:C66" si="42">B26</f>
        <v>0</v>
      </c>
      <c r="C66" s="35">
        <f t="shared" si="42"/>
        <v>0</v>
      </c>
      <c r="D66" s="67">
        <v>0</v>
      </c>
      <c r="E66" s="5">
        <f t="shared" si="41"/>
        <v>0</v>
      </c>
      <c r="F66" s="97"/>
      <c r="G66" s="68"/>
      <c r="H66" s="20"/>
      <c r="I66" s="68"/>
      <c r="J66" s="20"/>
      <c r="K66" s="20"/>
      <c r="L66" s="20"/>
      <c r="M66" s="20"/>
      <c r="N66" s="20"/>
      <c r="O66" s="20"/>
    </row>
    <row r="67" spans="2:15" ht="15.5" thickTop="1" thickBot="1" x14ac:dyDescent="0.4">
      <c r="B67" s="3">
        <f t="shared" ref="B67:C67" si="43">B27</f>
        <v>0</v>
      </c>
      <c r="C67" s="35">
        <f t="shared" si="43"/>
        <v>0</v>
      </c>
      <c r="D67" s="67">
        <v>0</v>
      </c>
      <c r="E67" s="5">
        <f t="shared" si="41"/>
        <v>0</v>
      </c>
      <c r="F67" s="97"/>
      <c r="G67" s="68"/>
      <c r="H67" s="20"/>
      <c r="I67" s="68"/>
      <c r="J67" s="20"/>
      <c r="K67" s="20"/>
      <c r="L67" s="20"/>
      <c r="M67" s="20"/>
      <c r="N67" s="20"/>
      <c r="O67" s="20"/>
    </row>
    <row r="68" spans="2:15" ht="15.5" thickTop="1" thickBot="1" x14ac:dyDescent="0.4">
      <c r="B68" s="3">
        <f t="shared" ref="B68:C68" si="44">B28</f>
        <v>0</v>
      </c>
      <c r="C68" s="35">
        <f t="shared" si="44"/>
        <v>0</v>
      </c>
      <c r="D68" s="67">
        <v>0</v>
      </c>
      <c r="E68" s="5">
        <f t="shared" si="41"/>
        <v>0</v>
      </c>
      <c r="F68" s="97"/>
      <c r="G68" s="68"/>
      <c r="H68" s="20"/>
      <c r="I68" s="68"/>
      <c r="J68" s="20"/>
      <c r="K68" s="20"/>
      <c r="L68" s="20"/>
      <c r="M68" s="20"/>
      <c r="N68" s="20"/>
      <c r="O68" s="20"/>
    </row>
    <row r="69" spans="2:15" ht="15.5" thickTop="1" thickBot="1" x14ac:dyDescent="0.4">
      <c r="B69" s="3">
        <f t="shared" ref="B69:C69" si="45">B29</f>
        <v>0</v>
      </c>
      <c r="C69" s="35">
        <f t="shared" si="45"/>
        <v>0</v>
      </c>
      <c r="D69" s="67">
        <v>0</v>
      </c>
      <c r="E69" s="5">
        <f t="shared" si="41"/>
        <v>0</v>
      </c>
      <c r="F69" s="97"/>
      <c r="G69" s="68"/>
      <c r="H69" s="20"/>
      <c r="I69" s="68"/>
      <c r="J69" s="20"/>
      <c r="K69" s="20"/>
      <c r="L69" s="20"/>
      <c r="M69" s="20"/>
      <c r="N69" s="20"/>
      <c r="O69" s="20"/>
    </row>
    <row r="70" spans="2:15" ht="15.5" thickTop="1" thickBot="1" x14ac:dyDescent="0.4">
      <c r="B70" s="3">
        <f t="shared" ref="B70:C70" si="46">B30</f>
        <v>0</v>
      </c>
      <c r="C70" s="35">
        <f t="shared" si="46"/>
        <v>0</v>
      </c>
      <c r="D70" s="67">
        <v>0</v>
      </c>
      <c r="E70" s="5">
        <f t="shared" si="41"/>
        <v>0</v>
      </c>
      <c r="F70" s="97"/>
      <c r="G70" s="68"/>
      <c r="H70" s="20"/>
      <c r="I70" s="68"/>
      <c r="J70" s="20"/>
      <c r="K70" s="20"/>
      <c r="L70" s="20"/>
      <c r="M70" s="20"/>
      <c r="N70" s="20"/>
      <c r="O70" s="20"/>
    </row>
    <row r="71" spans="2:15" ht="15.5" thickTop="1" thickBot="1" x14ac:dyDescent="0.4">
      <c r="B71" s="3">
        <f t="shared" ref="B71:C71" si="47">B31</f>
        <v>0</v>
      </c>
      <c r="C71" s="35">
        <f t="shared" si="47"/>
        <v>0</v>
      </c>
      <c r="D71" s="67">
        <v>0</v>
      </c>
      <c r="E71" s="5">
        <f t="shared" si="41"/>
        <v>0</v>
      </c>
      <c r="F71" s="97"/>
      <c r="G71" s="68"/>
      <c r="H71" s="20"/>
      <c r="I71" s="68"/>
      <c r="J71" s="20"/>
      <c r="K71" s="20"/>
      <c r="L71" s="20"/>
      <c r="M71" s="20"/>
      <c r="N71" s="20"/>
      <c r="O71" s="20"/>
    </row>
    <row r="72" spans="2:15" ht="15.5" thickTop="1" thickBot="1" x14ac:dyDescent="0.4">
      <c r="B72" s="3">
        <f t="shared" ref="B72:C72" si="48">B32</f>
        <v>0</v>
      </c>
      <c r="C72" s="35">
        <f t="shared" si="48"/>
        <v>0</v>
      </c>
      <c r="D72" s="67">
        <v>0</v>
      </c>
      <c r="E72" s="5">
        <f t="shared" si="41"/>
        <v>0</v>
      </c>
      <c r="F72" s="97"/>
      <c r="G72" s="68"/>
      <c r="H72" s="20"/>
      <c r="I72" s="68"/>
      <c r="J72" s="20"/>
      <c r="K72" s="20"/>
      <c r="L72" s="20"/>
      <c r="M72" s="20"/>
      <c r="N72" s="20"/>
      <c r="O72" s="20"/>
    </row>
    <row r="73" spans="2:15" ht="15.5" thickTop="1" thickBot="1" x14ac:dyDescent="0.4">
      <c r="B73" s="3">
        <f t="shared" ref="B73:C73" si="49">B33</f>
        <v>0</v>
      </c>
      <c r="C73" s="35">
        <f t="shared" si="49"/>
        <v>0</v>
      </c>
      <c r="D73" s="67">
        <v>0</v>
      </c>
      <c r="E73" s="5">
        <f t="shared" si="41"/>
        <v>0</v>
      </c>
      <c r="F73" s="97"/>
      <c r="G73" s="68"/>
      <c r="H73" s="20"/>
      <c r="I73" s="68"/>
      <c r="J73" s="20"/>
      <c r="K73" s="20"/>
      <c r="L73" s="20"/>
      <c r="M73" s="20"/>
      <c r="N73" s="20"/>
      <c r="O73" s="20"/>
    </row>
    <row r="74" spans="2:15" ht="15.5" thickTop="1" thickBot="1" x14ac:dyDescent="0.4">
      <c r="B74" s="3">
        <f t="shared" ref="B74:C74" si="50">B34</f>
        <v>0</v>
      </c>
      <c r="C74" s="35">
        <f t="shared" si="50"/>
        <v>0</v>
      </c>
      <c r="D74" s="67">
        <v>0</v>
      </c>
      <c r="E74" s="5">
        <f t="shared" si="41"/>
        <v>0</v>
      </c>
    </row>
    <row r="75" spans="2:15" ht="15.5" thickTop="1" thickBot="1" x14ac:dyDescent="0.4">
      <c r="B75" s="3">
        <f t="shared" ref="B75:C75" si="51">B35</f>
        <v>0</v>
      </c>
      <c r="C75" s="35">
        <f t="shared" si="51"/>
        <v>0</v>
      </c>
      <c r="D75" s="67">
        <v>0</v>
      </c>
      <c r="E75" s="5">
        <f t="shared" si="41"/>
        <v>0</v>
      </c>
    </row>
    <row r="76" spans="2:15" ht="15.5" thickTop="1" thickBot="1" x14ac:dyDescent="0.4">
      <c r="B76" s="3">
        <f t="shared" ref="B76:C76" si="52">B36</f>
        <v>0</v>
      </c>
      <c r="C76" s="35">
        <f t="shared" si="52"/>
        <v>0</v>
      </c>
      <c r="D76" s="67">
        <v>0</v>
      </c>
      <c r="E76" s="5">
        <f t="shared" si="41"/>
        <v>0</v>
      </c>
    </row>
    <row r="77" spans="2:15" ht="15.5" thickTop="1" thickBot="1" x14ac:dyDescent="0.4">
      <c r="B77" s="3">
        <f t="shared" ref="B77:C77" si="53">B37</f>
        <v>0</v>
      </c>
      <c r="C77" s="35">
        <f t="shared" si="53"/>
        <v>0</v>
      </c>
      <c r="D77" s="67">
        <v>0</v>
      </c>
      <c r="E77" s="5">
        <f t="shared" si="41"/>
        <v>0</v>
      </c>
    </row>
    <row r="78" spans="2:15" ht="15.5" thickTop="1" thickBot="1" x14ac:dyDescent="0.4">
      <c r="B78" s="3">
        <f t="shared" ref="B78:C78" si="54">B38</f>
        <v>0</v>
      </c>
      <c r="C78" s="35">
        <f t="shared" si="54"/>
        <v>0</v>
      </c>
      <c r="D78" s="67">
        <v>0</v>
      </c>
      <c r="E78" s="5">
        <f t="shared" si="41"/>
        <v>0</v>
      </c>
    </row>
    <row r="79" spans="2:15" ht="15.5" thickTop="1" thickBot="1" x14ac:dyDescent="0.4">
      <c r="B79" s="3">
        <f t="shared" ref="B79:C79" si="55">B39</f>
        <v>0</v>
      </c>
      <c r="C79" s="35">
        <f t="shared" si="55"/>
        <v>0</v>
      </c>
      <c r="D79" s="67">
        <v>0</v>
      </c>
      <c r="E79" s="5">
        <f t="shared" si="41"/>
        <v>0</v>
      </c>
    </row>
    <row r="80" spans="2:15" ht="15.5" thickTop="1" thickBot="1" x14ac:dyDescent="0.4">
      <c r="B80" s="3">
        <f t="shared" ref="B80:C80" si="56">B40</f>
        <v>0</v>
      </c>
      <c r="C80" s="35">
        <f t="shared" si="56"/>
        <v>0</v>
      </c>
      <c r="D80" s="67">
        <v>0</v>
      </c>
      <c r="E80" s="5">
        <f t="shared" si="41"/>
        <v>0</v>
      </c>
    </row>
    <row r="81" spans="2:16" ht="15.5" thickTop="1" thickBot="1" x14ac:dyDescent="0.4">
      <c r="B81" s="3">
        <f t="shared" ref="B81:C81" si="57">B41</f>
        <v>0</v>
      </c>
      <c r="C81" s="35">
        <f t="shared" si="57"/>
        <v>0</v>
      </c>
      <c r="D81" s="67">
        <v>0</v>
      </c>
      <c r="E81" s="5">
        <f t="shared" si="41"/>
        <v>0</v>
      </c>
    </row>
    <row r="82" spans="2:16" ht="15" thickTop="1" x14ac:dyDescent="0.35">
      <c r="B82" s="20"/>
      <c r="C82" s="20"/>
      <c r="D82" s="97"/>
      <c r="E82" s="68"/>
    </row>
    <row r="84" spans="2:16" ht="17" x14ac:dyDescent="0.45">
      <c r="B84" s="160" t="s">
        <v>28</v>
      </c>
      <c r="C84" s="160"/>
      <c r="D84" s="160"/>
    </row>
    <row r="85" spans="2:16" ht="14.5" customHeight="1" outlineLevel="1" x14ac:dyDescent="0.35">
      <c r="B85" s="145" t="s">
        <v>150</v>
      </c>
      <c r="C85" s="145"/>
      <c r="D85" s="145"/>
      <c r="E85" s="145"/>
      <c r="F85" s="145"/>
      <c r="G85" s="145"/>
      <c r="H85" s="145"/>
      <c r="I85" s="145"/>
      <c r="J85" s="145"/>
      <c r="K85" s="145"/>
    </row>
    <row r="86" spans="2:16" ht="14.5" customHeight="1" outlineLevel="1" x14ac:dyDescent="0.35">
      <c r="B86" s="145"/>
      <c r="C86" s="145"/>
      <c r="D86" s="145"/>
      <c r="E86" s="145"/>
      <c r="F86" s="145"/>
      <c r="G86" s="145"/>
      <c r="H86" s="145"/>
      <c r="I86" s="145"/>
      <c r="J86" s="145"/>
      <c r="K86" s="145"/>
    </row>
    <row r="87" spans="2:16" ht="15" outlineLevel="1" thickBot="1" x14ac:dyDescent="0.4"/>
    <row r="88" spans="2:16" ht="16.5" outlineLevel="1" thickBot="1" x14ac:dyDescent="0.5">
      <c r="B88" s="149" t="s">
        <v>11</v>
      </c>
      <c r="C88" s="149"/>
      <c r="D88" s="157" t="s">
        <v>16</v>
      </c>
      <c r="E88" s="158"/>
      <c r="F88" s="158"/>
      <c r="G88" s="158"/>
      <c r="H88" s="158"/>
      <c r="I88" s="158"/>
      <c r="J88" s="159"/>
      <c r="K88" s="153" t="s">
        <v>17</v>
      </c>
      <c r="L88" s="154"/>
      <c r="M88" s="154"/>
      <c r="N88" s="155"/>
      <c r="O88" s="20"/>
    </row>
    <row r="89" spans="2:16" ht="36" outlineLevel="1" thickTop="1" thickBot="1" x14ac:dyDescent="0.4">
      <c r="B89" s="16" t="s">
        <v>1</v>
      </c>
      <c r="C89" s="70" t="s">
        <v>2</v>
      </c>
      <c r="D89" s="30" t="s">
        <v>3</v>
      </c>
      <c r="E89" s="60" t="s">
        <v>8</v>
      </c>
      <c r="F89" s="62" t="s">
        <v>21</v>
      </c>
      <c r="G89" s="31" t="s">
        <v>6</v>
      </c>
      <c r="H89" s="31" t="s">
        <v>22</v>
      </c>
      <c r="I89" s="31" t="s">
        <v>19</v>
      </c>
      <c r="J89" s="31" t="s">
        <v>20</v>
      </c>
      <c r="K89" s="61" t="s">
        <v>3</v>
      </c>
      <c r="L89" s="61" t="s">
        <v>8</v>
      </c>
      <c r="M89" s="32" t="s">
        <v>9</v>
      </c>
      <c r="N89" s="33" t="s">
        <v>5</v>
      </c>
      <c r="O89" s="72" t="s">
        <v>26</v>
      </c>
      <c r="P89" s="20"/>
    </row>
    <row r="90" spans="2:16" ht="15.5" outlineLevel="1" thickTop="1" thickBot="1" x14ac:dyDescent="0.4">
      <c r="B90" s="3" t="str">
        <f t="shared" ref="B90:C106" si="58">B7</f>
        <v>ALSEA</v>
      </c>
      <c r="C90" s="35" t="str">
        <f t="shared" si="58"/>
        <v>Alsea SA</v>
      </c>
      <c r="D90" s="92">
        <v>5</v>
      </c>
      <c r="E90" s="93">
        <v>28.82</v>
      </c>
      <c r="F90" s="5">
        <f t="shared" ref="F90:F124" si="59">F7</f>
        <v>48.310001</v>
      </c>
      <c r="G90" s="6">
        <f t="shared" ref="G90:G106" si="60">D90*F90/$F$127</f>
        <v>8.9719720640748634E-3</v>
      </c>
      <c r="H90" s="5">
        <f t="shared" ref="H90:H124" si="61">H7</f>
        <v>43.970001220703125</v>
      </c>
      <c r="I90" s="5">
        <f>IFERROR(I7/D7*D90,0)</f>
        <v>0</v>
      </c>
      <c r="J90" s="56">
        <f>(H90+I90/D90)/F90-1</f>
        <v>-8.9836466351902455E-2</v>
      </c>
      <c r="K90" s="41">
        <f>D90+D130</f>
        <v>46</v>
      </c>
      <c r="L90" s="63">
        <f t="shared" ref="L90:L106" si="62">IF(K90&gt;0,IF(K90&gt;D90,(D90*E90+(K90-D90)*E130)/K90,E90),0)</f>
        <v>42.32326195758322</v>
      </c>
      <c r="M90" s="4">
        <f>K90*H90</f>
        <v>2022.6200561523438</v>
      </c>
      <c r="N90" s="37">
        <f t="shared" ref="N90:N106" si="63">M90/$M$127</f>
        <v>6.7315177809426904E-2</v>
      </c>
      <c r="O90" s="38">
        <f t="shared" ref="O90:O106" si="64">N90-N7</f>
        <v>5.4723598828000652E-4</v>
      </c>
      <c r="P90" s="20"/>
    </row>
    <row r="91" spans="2:16" ht="15.5" outlineLevel="1" thickTop="1" thickBot="1" x14ac:dyDescent="0.4">
      <c r="B91" s="3" t="str">
        <f t="shared" si="58"/>
        <v>LIVEPOLC-1</v>
      </c>
      <c r="C91" s="35" t="str">
        <f t="shared" si="58"/>
        <v>El Puerto de Liverpool SAB de CV</v>
      </c>
      <c r="D91" s="92">
        <v>38</v>
      </c>
      <c r="E91" s="93">
        <v>103.73</v>
      </c>
      <c r="F91" s="5">
        <f t="shared" si="59"/>
        <v>105.209999</v>
      </c>
      <c r="G91" s="6">
        <f t="shared" si="60"/>
        <v>0.14849829761665739</v>
      </c>
      <c r="H91" s="5">
        <f t="shared" si="61"/>
        <v>90.30999755859375</v>
      </c>
      <c r="I91" s="5">
        <f t="shared" ref="I91:I124" si="65">IFERROR(I8/D8*D91,0)</f>
        <v>0</v>
      </c>
      <c r="J91" s="56">
        <f t="shared" ref="J91:J106" si="66">(H91+I91/D91)/F91-1</f>
        <v>-0.14162153391339016</v>
      </c>
      <c r="K91" s="41">
        <f t="shared" ref="K91:K106" si="67">D91+D131</f>
        <v>22</v>
      </c>
      <c r="L91" s="63">
        <f t="shared" si="62"/>
        <v>103.73</v>
      </c>
      <c r="M91" s="4">
        <f t="shared" ref="M91:M106" si="68">K91*H91</f>
        <v>1986.8199462890625</v>
      </c>
      <c r="N91" s="37">
        <f t="shared" si="63"/>
        <v>6.612370798605921E-2</v>
      </c>
      <c r="O91" s="38">
        <f t="shared" si="64"/>
        <v>-3.6584062308180065E-4</v>
      </c>
      <c r="P91" s="20"/>
    </row>
    <row r="92" spans="2:16" ht="15.5" outlineLevel="1" thickTop="1" thickBot="1" x14ac:dyDescent="0.4">
      <c r="B92" s="3" t="str">
        <f t="shared" si="58"/>
        <v>GAPB</v>
      </c>
      <c r="C92" s="35" t="str">
        <f t="shared" si="58"/>
        <v>Grupo Aeroportuario del Pacifico, S.A.B. de C.V.</v>
      </c>
      <c r="D92" s="92">
        <v>56</v>
      </c>
      <c r="E92" s="93">
        <v>169.59</v>
      </c>
      <c r="F92" s="5">
        <f t="shared" si="59"/>
        <v>348.54998799999998</v>
      </c>
      <c r="G92" s="6">
        <f t="shared" si="60"/>
        <v>0.72499324640916163</v>
      </c>
      <c r="H92" s="5">
        <f t="shared" si="61"/>
        <v>397.3800048828125</v>
      </c>
      <c r="I92" s="5">
        <f t="shared" si="65"/>
        <v>388.07999999999993</v>
      </c>
      <c r="J92" s="56">
        <f t="shared" si="66"/>
        <v>0.15997710171435298</v>
      </c>
      <c r="K92" s="41">
        <f t="shared" si="67"/>
        <v>0</v>
      </c>
      <c r="L92" s="63">
        <f t="shared" si="62"/>
        <v>0</v>
      </c>
      <c r="M92" s="4">
        <f t="shared" si="68"/>
        <v>0</v>
      </c>
      <c r="N92" s="37">
        <f t="shared" si="63"/>
        <v>0</v>
      </c>
      <c r="O92" s="38">
        <f t="shared" si="64"/>
        <v>0</v>
      </c>
      <c r="P92" s="20"/>
    </row>
    <row r="93" spans="2:16" ht="15.5" outlineLevel="1" thickTop="1" thickBot="1" x14ac:dyDescent="0.4">
      <c r="B93" s="3" t="str">
        <f t="shared" si="58"/>
        <v>WALMEX</v>
      </c>
      <c r="C93" s="35" t="str">
        <f t="shared" si="58"/>
        <v>Walmart de Mexico SAB de CV</v>
      </c>
      <c r="D93" s="92">
        <v>5</v>
      </c>
      <c r="E93" s="93">
        <v>51.99</v>
      </c>
      <c r="F93" s="5">
        <f t="shared" si="59"/>
        <v>55.25</v>
      </c>
      <c r="G93" s="6">
        <f t="shared" si="60"/>
        <v>1.0260845503607756E-2</v>
      </c>
      <c r="H93" s="5">
        <f t="shared" si="61"/>
        <v>62.130001068115234</v>
      </c>
      <c r="I93" s="5">
        <f t="shared" si="65"/>
        <v>10.85</v>
      </c>
      <c r="J93" s="56">
        <f t="shared" si="66"/>
        <v>0.163800924309778</v>
      </c>
      <c r="K93" s="41">
        <f t="shared" si="67"/>
        <v>0</v>
      </c>
      <c r="L93" s="63">
        <f t="shared" si="62"/>
        <v>0</v>
      </c>
      <c r="M93" s="4">
        <f t="shared" si="68"/>
        <v>0</v>
      </c>
      <c r="N93" s="37">
        <f t="shared" si="63"/>
        <v>0</v>
      </c>
      <c r="O93" s="38">
        <f t="shared" si="64"/>
        <v>0</v>
      </c>
      <c r="P93" s="20"/>
    </row>
    <row r="94" spans="2:16" ht="15.5" outlineLevel="1" thickTop="1" thickBot="1" x14ac:dyDescent="0.4">
      <c r="B94" s="3" t="str">
        <f t="shared" si="58"/>
        <v>CEMEXCPO</v>
      </c>
      <c r="C94" s="35" t="str">
        <f t="shared" si="58"/>
        <v>Cemex SA CPO</v>
      </c>
      <c r="D94" s="92">
        <v>4</v>
      </c>
      <c r="E94" s="93">
        <v>366.56</v>
      </c>
      <c r="F94" s="5">
        <f t="shared" si="59"/>
        <v>10.49</v>
      </c>
      <c r="G94" s="6">
        <f t="shared" si="60"/>
        <v>1.5585342165841862E-3</v>
      </c>
      <c r="H94" s="5">
        <f t="shared" si="61"/>
        <v>12.130000114440918</v>
      </c>
      <c r="I94" s="5">
        <f t="shared" si="65"/>
        <v>0</v>
      </c>
      <c r="J94" s="56">
        <f t="shared" si="66"/>
        <v>0.15633938173888628</v>
      </c>
      <c r="K94" s="41">
        <f t="shared" si="67"/>
        <v>0</v>
      </c>
      <c r="L94" s="63">
        <f t="shared" si="62"/>
        <v>0</v>
      </c>
      <c r="M94" s="4">
        <f t="shared" si="68"/>
        <v>0</v>
      </c>
      <c r="N94" s="37">
        <f t="shared" si="63"/>
        <v>0</v>
      </c>
      <c r="O94" s="38">
        <f t="shared" si="64"/>
        <v>0</v>
      </c>
      <c r="P94" s="20"/>
    </row>
    <row r="95" spans="2:16" ht="15.5" outlineLevel="1" thickTop="1" thickBot="1" x14ac:dyDescent="0.4">
      <c r="B95" s="3" t="str">
        <f t="shared" si="58"/>
        <v>PE&amp;OLES</v>
      </c>
      <c r="C95" s="35" t="str">
        <f t="shared" si="58"/>
        <v>Industrias Penoles</v>
      </c>
      <c r="D95" s="92">
        <v>4</v>
      </c>
      <c r="E95" s="93">
        <v>72.69</v>
      </c>
      <c r="F95" s="5">
        <f t="shared" si="59"/>
        <v>315.19000199999999</v>
      </c>
      <c r="G95" s="6">
        <f t="shared" si="60"/>
        <v>4.6828827725666169E-2</v>
      </c>
      <c r="H95" s="5">
        <f t="shared" si="61"/>
        <v>392.989990234375</v>
      </c>
      <c r="I95" s="5">
        <f t="shared" si="65"/>
        <v>0</v>
      </c>
      <c r="J95" s="56">
        <f t="shared" si="66"/>
        <v>0.24683520333990483</v>
      </c>
      <c r="K95" s="41">
        <f t="shared" si="67"/>
        <v>9</v>
      </c>
      <c r="L95" s="63">
        <f t="shared" si="62"/>
        <v>250.63443901909724</v>
      </c>
      <c r="M95" s="4">
        <f t="shared" si="68"/>
        <v>3536.909912109375</v>
      </c>
      <c r="N95" s="37">
        <f t="shared" si="63"/>
        <v>0.1177125278202197</v>
      </c>
      <c r="O95" s="38">
        <f t="shared" si="64"/>
        <v>1.7070626644620501E-4</v>
      </c>
      <c r="P95" s="20"/>
    </row>
    <row r="96" spans="2:16" ht="15.5" outlineLevel="1" thickTop="1" thickBot="1" x14ac:dyDescent="0.4">
      <c r="B96" s="3" t="str">
        <f t="shared" si="58"/>
        <v>BBAJIOO</v>
      </c>
      <c r="C96" s="35" t="str">
        <f t="shared" si="58"/>
        <v>Banco del Bajio, S.A.</v>
      </c>
      <c r="D96" s="92">
        <v>13</v>
      </c>
      <c r="E96" s="93">
        <v>134.15</v>
      </c>
      <c r="F96" s="5">
        <f t="shared" si="59"/>
        <v>44.369999</v>
      </c>
      <c r="G96" s="6">
        <f t="shared" si="60"/>
        <v>2.1424644928669676E-2</v>
      </c>
      <c r="H96" s="5">
        <f t="shared" si="61"/>
        <v>47.060001373291016</v>
      </c>
      <c r="I96" s="5">
        <f t="shared" si="65"/>
        <v>0</v>
      </c>
      <c r="J96" s="56">
        <f t="shared" si="66"/>
        <v>6.0626604325391575E-2</v>
      </c>
      <c r="K96" s="41">
        <f t="shared" si="67"/>
        <v>0</v>
      </c>
      <c r="L96" s="63">
        <f t="shared" si="62"/>
        <v>0</v>
      </c>
      <c r="M96" s="4">
        <f t="shared" si="68"/>
        <v>0</v>
      </c>
      <c r="N96" s="37">
        <f t="shared" si="63"/>
        <v>0</v>
      </c>
      <c r="O96" s="38">
        <f t="shared" si="64"/>
        <v>0</v>
      </c>
      <c r="P96" s="20"/>
    </row>
    <row r="97" spans="2:16" ht="15.5" outlineLevel="1" thickTop="1" thickBot="1" x14ac:dyDescent="0.4">
      <c r="B97" s="3" t="str">
        <f t="shared" si="58"/>
        <v>CUERVO</v>
      </c>
      <c r="C97" s="35" t="str">
        <f t="shared" si="58"/>
        <v>Becle, S.A. De C.V.</v>
      </c>
      <c r="D97" s="92">
        <v>2</v>
      </c>
      <c r="E97" s="93">
        <v>16.28</v>
      </c>
      <c r="F97" s="5">
        <f t="shared" si="59"/>
        <v>26.379999000000002</v>
      </c>
      <c r="G97" s="6">
        <f t="shared" si="60"/>
        <v>1.9596821294068931E-3</v>
      </c>
      <c r="H97" s="5">
        <f t="shared" si="61"/>
        <v>22.670000076293945</v>
      </c>
      <c r="I97" s="5">
        <f t="shared" si="65"/>
        <v>0</v>
      </c>
      <c r="J97" s="56">
        <f t="shared" si="66"/>
        <v>-0.14063681062709876</v>
      </c>
      <c r="K97" s="41">
        <f t="shared" si="67"/>
        <v>88</v>
      </c>
      <c r="L97" s="63">
        <f t="shared" si="62"/>
        <v>22.524772801832718</v>
      </c>
      <c r="M97" s="4">
        <f t="shared" si="68"/>
        <v>1994.9600067138672</v>
      </c>
      <c r="N97" s="37">
        <f t="shared" si="63"/>
        <v>6.63946187847574E-2</v>
      </c>
      <c r="O97" s="38">
        <f t="shared" si="64"/>
        <v>-3.6733948299777497E-4</v>
      </c>
      <c r="P97" s="20"/>
    </row>
    <row r="98" spans="2:16" ht="15.5" outlineLevel="1" thickTop="1" thickBot="1" x14ac:dyDescent="0.4">
      <c r="B98" s="3" t="str">
        <f t="shared" si="58"/>
        <v>KIMBERA</v>
      </c>
      <c r="C98" s="35" t="str">
        <f t="shared" si="58"/>
        <v>Kimberly Clark de Mexico S.A.B. de C.V. A</v>
      </c>
      <c r="D98" s="92">
        <v>7</v>
      </c>
      <c r="E98" s="93">
        <v>26.86</v>
      </c>
      <c r="F98" s="5">
        <f t="shared" si="59"/>
        <v>28.83</v>
      </c>
      <c r="G98" s="6">
        <f t="shared" si="60"/>
        <v>7.4958958591242759E-3</v>
      </c>
      <c r="H98" s="5">
        <f t="shared" si="61"/>
        <v>34.5</v>
      </c>
      <c r="I98" s="5">
        <f t="shared" si="65"/>
        <v>3.5700000000000003</v>
      </c>
      <c r="J98" s="56">
        <f t="shared" si="66"/>
        <v>0.21436004162330913</v>
      </c>
      <c r="K98" s="41">
        <f t="shared" si="67"/>
        <v>0</v>
      </c>
      <c r="L98" s="63">
        <f t="shared" si="62"/>
        <v>0</v>
      </c>
      <c r="M98" s="4">
        <f t="shared" si="68"/>
        <v>0</v>
      </c>
      <c r="N98" s="37">
        <f t="shared" si="63"/>
        <v>0</v>
      </c>
      <c r="O98" s="38">
        <f t="shared" si="64"/>
        <v>0</v>
      </c>
      <c r="P98" s="20"/>
    </row>
    <row r="99" spans="2:16" ht="15.5" outlineLevel="1" thickTop="1" thickBot="1" x14ac:dyDescent="0.4">
      <c r="B99" s="3" t="str">
        <f t="shared" si="58"/>
        <v>Q</v>
      </c>
      <c r="C99" s="35" t="str">
        <f t="shared" si="58"/>
        <v>Qualitas Controladora S.A.B de C.V.</v>
      </c>
      <c r="D99" s="92">
        <v>2</v>
      </c>
      <c r="E99" s="93">
        <v>126.14</v>
      </c>
      <c r="F99" s="5">
        <f t="shared" si="59"/>
        <v>139.050003</v>
      </c>
      <c r="G99" s="6">
        <f t="shared" si="60"/>
        <v>1.03295608909263E-2</v>
      </c>
      <c r="H99" s="5">
        <f t="shared" si="61"/>
        <v>216.94999694824219</v>
      </c>
      <c r="I99" s="5">
        <f t="shared" si="65"/>
        <v>0</v>
      </c>
      <c r="J99" s="56">
        <f t="shared" si="66"/>
        <v>0.56023007743654762</v>
      </c>
      <c r="K99" s="41">
        <f t="shared" si="67"/>
        <v>9</v>
      </c>
      <c r="L99" s="63">
        <f t="shared" si="62"/>
        <v>196.7699976264106</v>
      </c>
      <c r="M99" s="4">
        <f t="shared" si="68"/>
        <v>1952.5499725341797</v>
      </c>
      <c r="N99" s="37">
        <f t="shared" si="63"/>
        <v>6.4983162894648047E-2</v>
      </c>
      <c r="O99" s="38">
        <f t="shared" si="64"/>
        <v>9.4238339155811035E-5</v>
      </c>
      <c r="P99" s="20"/>
    </row>
    <row r="100" spans="2:16" ht="15.5" outlineLevel="1" thickTop="1" thickBot="1" x14ac:dyDescent="0.4">
      <c r="B100" s="3" t="str">
        <f t="shared" si="58"/>
        <v>BOLSAA</v>
      </c>
      <c r="C100" s="35" t="str">
        <f t="shared" si="58"/>
        <v>Bolsa Mexicana de Valores SA de CV</v>
      </c>
      <c r="D100" s="92">
        <v>0</v>
      </c>
      <c r="E100" s="93">
        <v>0</v>
      </c>
      <c r="F100" s="5">
        <f t="shared" si="59"/>
        <v>0</v>
      </c>
      <c r="G100" s="6">
        <f t="shared" si="60"/>
        <v>0</v>
      </c>
      <c r="H100" s="5">
        <f t="shared" si="61"/>
        <v>41.319999694824219</v>
      </c>
      <c r="I100" s="5">
        <f t="shared" si="65"/>
        <v>0</v>
      </c>
      <c r="J100" s="56" t="e">
        <f t="shared" si="66"/>
        <v>#DIV/0!</v>
      </c>
      <c r="K100" s="41">
        <f t="shared" si="67"/>
        <v>85</v>
      </c>
      <c r="L100" s="63">
        <f t="shared" si="62"/>
        <v>41.319999694824219</v>
      </c>
      <c r="M100" s="4">
        <f t="shared" si="68"/>
        <v>3512.1999740600586</v>
      </c>
      <c r="N100" s="37">
        <f t="shared" si="63"/>
        <v>0.1168901519773667</v>
      </c>
      <c r="O100" s="38">
        <f t="shared" si="64"/>
        <v>-4.1745413794799791E-5</v>
      </c>
      <c r="P100" s="20"/>
    </row>
    <row r="101" spans="2:16" ht="15.5" outlineLevel="1" thickTop="1" thickBot="1" x14ac:dyDescent="0.4">
      <c r="B101" s="3" t="str">
        <f t="shared" si="58"/>
        <v>GENTERA</v>
      </c>
      <c r="C101" s="35" t="str">
        <f t="shared" si="58"/>
        <v>Gentera SAB de CV</v>
      </c>
      <c r="D101" s="92">
        <v>0</v>
      </c>
      <c r="E101" s="93">
        <v>0</v>
      </c>
      <c r="F101" s="5">
        <f t="shared" si="59"/>
        <v>0</v>
      </c>
      <c r="G101" s="6">
        <f t="shared" si="60"/>
        <v>0</v>
      </c>
      <c r="H101" s="5">
        <f t="shared" si="61"/>
        <v>34.189998626708984</v>
      </c>
      <c r="I101" s="5">
        <f t="shared" si="65"/>
        <v>0</v>
      </c>
      <c r="J101" s="56" t="e">
        <f>(H101+I101/D101)/F101-1</f>
        <v>#DIV/0!</v>
      </c>
      <c r="K101" s="41">
        <f t="shared" si="67"/>
        <v>102</v>
      </c>
      <c r="L101" s="63">
        <f t="shared" si="62"/>
        <v>34.189998626708984</v>
      </c>
      <c r="M101" s="4">
        <f t="shared" si="68"/>
        <v>3487.3798599243164</v>
      </c>
      <c r="N101" s="37">
        <f t="shared" si="63"/>
        <v>0.11606410934458668</v>
      </c>
      <c r="O101" s="38">
        <f t="shared" si="64"/>
        <v>-3.5609961954018166E-4</v>
      </c>
      <c r="P101" s="20"/>
    </row>
    <row r="102" spans="2:16" ht="15.5" outlineLevel="1" thickTop="1" thickBot="1" x14ac:dyDescent="0.4">
      <c r="B102" s="3" t="str">
        <f t="shared" si="58"/>
        <v>GFNORTEO</v>
      </c>
      <c r="C102" s="35" t="str">
        <f t="shared" si="58"/>
        <v>Grupo Financiero Banorte O</v>
      </c>
      <c r="D102" s="117">
        <v>0</v>
      </c>
      <c r="E102" s="93">
        <v>0</v>
      </c>
      <c r="F102" s="5">
        <f t="shared" si="59"/>
        <v>0</v>
      </c>
      <c r="G102" s="6">
        <f t="shared" si="60"/>
        <v>0</v>
      </c>
      <c r="H102" s="5">
        <f t="shared" si="61"/>
        <v>168.14999389648438</v>
      </c>
      <c r="I102" s="5">
        <f t="shared" si="65"/>
        <v>0</v>
      </c>
      <c r="J102" s="56" t="e">
        <f t="shared" si="66"/>
        <v>#DIV/0!</v>
      </c>
      <c r="K102" s="41">
        <f t="shared" si="67"/>
        <v>12</v>
      </c>
      <c r="L102" s="63">
        <f t="shared" si="62"/>
        <v>168.14999389648438</v>
      </c>
      <c r="M102" s="4">
        <f t="shared" si="68"/>
        <v>2017.7999267578125</v>
      </c>
      <c r="N102" s="37">
        <f t="shared" si="63"/>
        <v>6.7154758225793115E-2</v>
      </c>
      <c r="O102" s="38">
        <f t="shared" si="64"/>
        <v>1.3869523987010551E-3</v>
      </c>
      <c r="P102" s="20"/>
    </row>
    <row r="103" spans="2:16" ht="15.5" outlineLevel="1" thickTop="1" thickBot="1" x14ac:dyDescent="0.4">
      <c r="B103" s="3" t="str">
        <f t="shared" si="58"/>
        <v>MEGACPO</v>
      </c>
      <c r="C103" s="35" t="str">
        <f t="shared" si="58"/>
        <v>Megacable Holdings SAB de CV</v>
      </c>
      <c r="D103" s="92">
        <v>0</v>
      </c>
      <c r="E103" s="93">
        <v>0</v>
      </c>
      <c r="F103" s="5">
        <f t="shared" si="59"/>
        <v>0</v>
      </c>
      <c r="G103" s="6">
        <f t="shared" si="60"/>
        <v>0</v>
      </c>
      <c r="H103" s="5">
        <f t="shared" si="61"/>
        <v>47.700000762939453</v>
      </c>
      <c r="I103" s="5">
        <f t="shared" si="65"/>
        <v>0</v>
      </c>
      <c r="J103" s="56" t="e">
        <f t="shared" si="66"/>
        <v>#DIV/0!</v>
      </c>
      <c r="K103" s="41">
        <f t="shared" si="67"/>
        <v>42</v>
      </c>
      <c r="L103" s="63">
        <f t="shared" si="62"/>
        <v>47.700000762939453</v>
      </c>
      <c r="M103" s="4">
        <f t="shared" si="68"/>
        <v>2003.400032043457</v>
      </c>
      <c r="N103" s="37">
        <f t="shared" si="63"/>
        <v>6.6675512768800155E-2</v>
      </c>
      <c r="O103" s="38">
        <f t="shared" si="64"/>
        <v>-2.6912511475542245E-4</v>
      </c>
      <c r="P103" s="20"/>
    </row>
    <row r="104" spans="2:16" ht="15.5" outlineLevel="1" thickTop="1" thickBot="1" x14ac:dyDescent="0.4">
      <c r="B104" s="3" t="str">
        <f t="shared" si="58"/>
        <v>OMAB</v>
      </c>
      <c r="C104" s="35" t="str">
        <f t="shared" si="58"/>
        <v>Grupo Aeroportuario del Centro Norte, S.A.B. de C.V.</v>
      </c>
      <c r="D104" s="92">
        <v>0</v>
      </c>
      <c r="E104" s="93">
        <v>0</v>
      </c>
      <c r="F104" s="5">
        <f t="shared" si="59"/>
        <v>0</v>
      </c>
      <c r="G104" s="6">
        <f t="shared" si="60"/>
        <v>0</v>
      </c>
      <c r="H104" s="5">
        <f t="shared" si="61"/>
        <v>215.78999328613281</v>
      </c>
      <c r="I104" s="5">
        <f t="shared" si="65"/>
        <v>0</v>
      </c>
      <c r="J104" s="56" t="e">
        <f t="shared" si="66"/>
        <v>#DIV/0!</v>
      </c>
      <c r="K104" s="41">
        <f t="shared" si="67"/>
        <v>9</v>
      </c>
      <c r="L104" s="63">
        <f t="shared" si="62"/>
        <v>215.78999328613281</v>
      </c>
      <c r="M104" s="4">
        <f t="shared" si="68"/>
        <v>1942.1099395751953</v>
      </c>
      <c r="N104" s="37">
        <f t="shared" si="63"/>
        <v>6.4635706300992385E-2</v>
      </c>
      <c r="O104" s="38">
        <f t="shared" si="64"/>
        <v>9.3734458906591378E-5</v>
      </c>
      <c r="P104" s="20"/>
    </row>
    <row r="105" spans="2:16" ht="15.5" outlineLevel="1" thickTop="1" thickBot="1" x14ac:dyDescent="0.4">
      <c r="B105" s="3" t="str">
        <f t="shared" si="58"/>
        <v>ORBIA</v>
      </c>
      <c r="C105" s="35" t="str">
        <f t="shared" si="58"/>
        <v>ORBIA ADVANCE CORPORATION SAB de CV</v>
      </c>
      <c r="D105" s="92">
        <v>0</v>
      </c>
      <c r="E105" s="93">
        <v>0</v>
      </c>
      <c r="F105" s="5">
        <f t="shared" si="59"/>
        <v>0</v>
      </c>
      <c r="G105" s="6">
        <f t="shared" si="60"/>
        <v>0</v>
      </c>
      <c r="H105" s="5">
        <f t="shared" si="61"/>
        <v>13.239999771118164</v>
      </c>
      <c r="I105" s="5">
        <f t="shared" si="65"/>
        <v>0</v>
      </c>
      <c r="J105" s="56" t="e">
        <f t="shared" si="66"/>
        <v>#DIV/0!</v>
      </c>
      <c r="K105" s="41">
        <f t="shared" si="67"/>
        <v>265</v>
      </c>
      <c r="L105" s="63">
        <f t="shared" si="62"/>
        <v>13.239999771118164</v>
      </c>
      <c r="M105" s="4">
        <f t="shared" si="68"/>
        <v>3508.5999393463135</v>
      </c>
      <c r="N105" s="37">
        <f t="shared" si="63"/>
        <v>0.11677033858179656</v>
      </c>
      <c r="O105" s="38">
        <f t="shared" si="64"/>
        <v>1.0164701967124712E-4</v>
      </c>
      <c r="P105" s="20"/>
    </row>
    <row r="106" spans="2:16" ht="15.5" outlineLevel="1" thickTop="1" thickBot="1" x14ac:dyDescent="0.4">
      <c r="B106" s="3" t="str">
        <f t="shared" si="58"/>
        <v>PINFRA</v>
      </c>
      <c r="C106" s="35" t="str">
        <f t="shared" si="58"/>
        <v>Promotora y Operadora de Infraestructura SAB de CV</v>
      </c>
      <c r="D106" s="92">
        <v>0</v>
      </c>
      <c r="E106" s="93">
        <v>0</v>
      </c>
      <c r="F106" s="5">
        <f t="shared" si="59"/>
        <v>0</v>
      </c>
      <c r="G106" s="6">
        <f t="shared" si="60"/>
        <v>0</v>
      </c>
      <c r="H106" s="5">
        <f t="shared" si="61"/>
        <v>219.42999267578125</v>
      </c>
      <c r="I106" s="5">
        <f t="shared" si="65"/>
        <v>0</v>
      </c>
      <c r="J106" s="56" t="e">
        <f t="shared" si="66"/>
        <v>#DIV/0!</v>
      </c>
      <c r="K106" s="41">
        <f t="shared" si="67"/>
        <v>9</v>
      </c>
      <c r="L106" s="63">
        <f t="shared" si="62"/>
        <v>219.42999267578125</v>
      </c>
      <c r="M106" s="4">
        <f t="shared" si="68"/>
        <v>1974.8699340820313</v>
      </c>
      <c r="N106" s="37">
        <f t="shared" si="63"/>
        <v>6.5725997504501255E-2</v>
      </c>
      <c r="O106" s="38">
        <f t="shared" si="64"/>
        <v>9.5315595121547858E-5</v>
      </c>
      <c r="P106" s="20"/>
    </row>
    <row r="107" spans="2:16" ht="15.5" outlineLevel="1" thickTop="1" thickBot="1" x14ac:dyDescent="0.4">
      <c r="B107" s="3">
        <f t="shared" ref="B107:C108" si="69">B24</f>
        <v>0</v>
      </c>
      <c r="C107" s="35">
        <f t="shared" ref="C107" si="70">C24</f>
        <v>0</v>
      </c>
      <c r="D107" s="92">
        <v>0</v>
      </c>
      <c r="E107" s="93">
        <v>0</v>
      </c>
      <c r="F107" s="5">
        <f t="shared" si="59"/>
        <v>0</v>
      </c>
      <c r="G107" s="6">
        <f t="shared" ref="G107:G124" si="71">D107*F107/$F$127</f>
        <v>0</v>
      </c>
      <c r="H107" s="5">
        <f t="shared" si="61"/>
        <v>0</v>
      </c>
      <c r="I107" s="5">
        <f t="shared" si="65"/>
        <v>0</v>
      </c>
      <c r="J107" s="56" t="e">
        <f t="shared" ref="J107:J124" si="72">(H107+I107/D107)/F107-1</f>
        <v>#DIV/0!</v>
      </c>
      <c r="K107" s="41">
        <f t="shared" ref="K107:K124" si="73">D107+D147</f>
        <v>0</v>
      </c>
      <c r="L107" s="63">
        <f t="shared" ref="L107:L124" si="74">IF(K107&gt;0,IF(K107&gt;D107,(D107*E107+(K107-D107)*E147)/K107,E107),0)</f>
        <v>0</v>
      </c>
      <c r="M107" s="4">
        <f>K107*H107</f>
        <v>0</v>
      </c>
      <c r="N107" s="37">
        <f t="shared" ref="N107:N124" si="75">M107/$M$127</f>
        <v>0</v>
      </c>
      <c r="O107" s="38">
        <f t="shared" ref="O107:O124" si="76">N107-N24</f>
        <v>0</v>
      </c>
      <c r="P107" s="20"/>
    </row>
    <row r="108" spans="2:16" ht="15.5" outlineLevel="1" thickTop="1" thickBot="1" x14ac:dyDescent="0.4">
      <c r="B108" s="3">
        <f t="shared" si="69"/>
        <v>0</v>
      </c>
      <c r="C108" s="35">
        <f t="shared" si="69"/>
        <v>0</v>
      </c>
      <c r="D108" s="92">
        <v>0</v>
      </c>
      <c r="E108" s="93">
        <v>0</v>
      </c>
      <c r="F108" s="5">
        <f t="shared" si="59"/>
        <v>0</v>
      </c>
      <c r="G108" s="6">
        <f t="shared" si="71"/>
        <v>0</v>
      </c>
      <c r="H108" s="5">
        <f t="shared" si="61"/>
        <v>0</v>
      </c>
      <c r="I108" s="5">
        <f t="shared" si="65"/>
        <v>0</v>
      </c>
      <c r="J108" s="56" t="e">
        <f t="shared" si="72"/>
        <v>#DIV/0!</v>
      </c>
      <c r="K108" s="41">
        <f t="shared" si="73"/>
        <v>0</v>
      </c>
      <c r="L108" s="63">
        <f t="shared" si="74"/>
        <v>0</v>
      </c>
      <c r="M108" s="4">
        <f t="shared" ref="M108:M124" si="77">K108*H108</f>
        <v>0</v>
      </c>
      <c r="N108" s="37">
        <f t="shared" si="75"/>
        <v>0</v>
      </c>
      <c r="O108" s="38">
        <f t="shared" si="76"/>
        <v>0</v>
      </c>
      <c r="P108" s="20"/>
    </row>
    <row r="109" spans="2:16" ht="15.5" outlineLevel="1" thickTop="1" thickBot="1" x14ac:dyDescent="0.4">
      <c r="B109" s="3">
        <f t="shared" ref="B109:C109" si="78">B26</f>
        <v>0</v>
      </c>
      <c r="C109" s="35">
        <f t="shared" si="78"/>
        <v>0</v>
      </c>
      <c r="D109" s="92">
        <v>0</v>
      </c>
      <c r="E109" s="93">
        <v>0</v>
      </c>
      <c r="F109" s="5">
        <f t="shared" si="59"/>
        <v>0</v>
      </c>
      <c r="G109" s="6">
        <f t="shared" si="71"/>
        <v>0</v>
      </c>
      <c r="H109" s="5">
        <f t="shared" si="61"/>
        <v>0</v>
      </c>
      <c r="I109" s="5">
        <f t="shared" si="65"/>
        <v>0</v>
      </c>
      <c r="J109" s="56" t="e">
        <f t="shared" si="72"/>
        <v>#DIV/0!</v>
      </c>
      <c r="K109" s="41">
        <f t="shared" si="73"/>
        <v>0</v>
      </c>
      <c r="L109" s="63">
        <f t="shared" si="74"/>
        <v>0</v>
      </c>
      <c r="M109" s="4">
        <f t="shared" si="77"/>
        <v>0</v>
      </c>
      <c r="N109" s="37">
        <f t="shared" si="75"/>
        <v>0</v>
      </c>
      <c r="O109" s="38">
        <f t="shared" si="76"/>
        <v>0</v>
      </c>
      <c r="P109" s="20"/>
    </row>
    <row r="110" spans="2:16" ht="15.5" outlineLevel="1" thickTop="1" thickBot="1" x14ac:dyDescent="0.4">
      <c r="B110" s="3">
        <f t="shared" ref="B110:C110" si="79">B27</f>
        <v>0</v>
      </c>
      <c r="C110" s="35">
        <f t="shared" si="79"/>
        <v>0</v>
      </c>
      <c r="D110" s="92">
        <v>0</v>
      </c>
      <c r="E110" s="93">
        <v>0</v>
      </c>
      <c r="F110" s="5">
        <f t="shared" si="59"/>
        <v>0</v>
      </c>
      <c r="G110" s="6">
        <f t="shared" si="71"/>
        <v>0</v>
      </c>
      <c r="H110" s="5">
        <f t="shared" si="61"/>
        <v>0</v>
      </c>
      <c r="I110" s="5">
        <f t="shared" si="65"/>
        <v>0</v>
      </c>
      <c r="J110" s="56" t="e">
        <f t="shared" si="72"/>
        <v>#DIV/0!</v>
      </c>
      <c r="K110" s="41">
        <f t="shared" si="73"/>
        <v>0</v>
      </c>
      <c r="L110" s="63">
        <f t="shared" si="74"/>
        <v>0</v>
      </c>
      <c r="M110" s="4">
        <f t="shared" si="77"/>
        <v>0</v>
      </c>
      <c r="N110" s="37">
        <f t="shared" si="75"/>
        <v>0</v>
      </c>
      <c r="O110" s="38">
        <f t="shared" si="76"/>
        <v>0</v>
      </c>
      <c r="P110" s="20"/>
    </row>
    <row r="111" spans="2:16" ht="15.5" outlineLevel="1" thickTop="1" thickBot="1" x14ac:dyDescent="0.4">
      <c r="B111" s="3">
        <f t="shared" ref="B111:C111" si="80">B28</f>
        <v>0</v>
      </c>
      <c r="C111" s="35">
        <f t="shared" si="80"/>
        <v>0</v>
      </c>
      <c r="D111" s="92">
        <v>0</v>
      </c>
      <c r="E111" s="93">
        <v>0</v>
      </c>
      <c r="F111" s="5">
        <f t="shared" si="59"/>
        <v>0</v>
      </c>
      <c r="G111" s="6">
        <f t="shared" si="71"/>
        <v>0</v>
      </c>
      <c r="H111" s="5">
        <f t="shared" si="61"/>
        <v>0</v>
      </c>
      <c r="I111" s="5">
        <f t="shared" si="65"/>
        <v>0</v>
      </c>
      <c r="J111" s="56" t="e">
        <f t="shared" si="72"/>
        <v>#DIV/0!</v>
      </c>
      <c r="K111" s="41">
        <f t="shared" si="73"/>
        <v>0</v>
      </c>
      <c r="L111" s="63">
        <f t="shared" si="74"/>
        <v>0</v>
      </c>
      <c r="M111" s="4">
        <f t="shared" si="77"/>
        <v>0</v>
      </c>
      <c r="N111" s="37">
        <f t="shared" si="75"/>
        <v>0</v>
      </c>
      <c r="O111" s="38">
        <f t="shared" si="76"/>
        <v>0</v>
      </c>
      <c r="P111" s="20"/>
    </row>
    <row r="112" spans="2:16" ht="15.5" outlineLevel="1" thickTop="1" thickBot="1" x14ac:dyDescent="0.4">
      <c r="B112" s="3">
        <f t="shared" ref="B112:C112" si="81">B29</f>
        <v>0</v>
      </c>
      <c r="C112" s="35">
        <f t="shared" si="81"/>
        <v>0</v>
      </c>
      <c r="D112" s="92">
        <v>0</v>
      </c>
      <c r="E112" s="93">
        <v>0</v>
      </c>
      <c r="F112" s="5">
        <f t="shared" si="59"/>
        <v>0</v>
      </c>
      <c r="G112" s="6">
        <f t="shared" si="71"/>
        <v>0</v>
      </c>
      <c r="H112" s="5">
        <f t="shared" si="61"/>
        <v>0</v>
      </c>
      <c r="I112" s="5">
        <f t="shared" si="65"/>
        <v>0</v>
      </c>
      <c r="J112" s="56" t="e">
        <f t="shared" si="72"/>
        <v>#DIV/0!</v>
      </c>
      <c r="K112" s="41">
        <f t="shared" si="73"/>
        <v>0</v>
      </c>
      <c r="L112" s="63">
        <f t="shared" si="74"/>
        <v>0</v>
      </c>
      <c r="M112" s="4">
        <f t="shared" si="77"/>
        <v>0</v>
      </c>
      <c r="N112" s="37">
        <f t="shared" si="75"/>
        <v>0</v>
      </c>
      <c r="O112" s="38">
        <f t="shared" si="76"/>
        <v>0</v>
      </c>
      <c r="P112" s="20"/>
    </row>
    <row r="113" spans="2:16" ht="15.5" outlineLevel="1" thickTop="1" thickBot="1" x14ac:dyDescent="0.4">
      <c r="B113" s="3">
        <f t="shared" ref="B113:C113" si="82">B30</f>
        <v>0</v>
      </c>
      <c r="C113" s="35">
        <f t="shared" si="82"/>
        <v>0</v>
      </c>
      <c r="D113" s="92">
        <v>0</v>
      </c>
      <c r="E113" s="93">
        <v>0</v>
      </c>
      <c r="F113" s="5">
        <f t="shared" si="59"/>
        <v>0</v>
      </c>
      <c r="G113" s="6">
        <f t="shared" si="71"/>
        <v>0</v>
      </c>
      <c r="H113" s="5">
        <f t="shared" si="61"/>
        <v>0</v>
      </c>
      <c r="I113" s="5">
        <f t="shared" si="65"/>
        <v>0</v>
      </c>
      <c r="J113" s="56" t="e">
        <f t="shared" si="72"/>
        <v>#DIV/0!</v>
      </c>
      <c r="K113" s="41">
        <f t="shared" si="73"/>
        <v>0</v>
      </c>
      <c r="L113" s="63">
        <f t="shared" si="74"/>
        <v>0</v>
      </c>
      <c r="M113" s="4">
        <f t="shared" si="77"/>
        <v>0</v>
      </c>
      <c r="N113" s="37">
        <f t="shared" si="75"/>
        <v>0</v>
      </c>
      <c r="O113" s="38">
        <f t="shared" si="76"/>
        <v>0</v>
      </c>
      <c r="P113" s="20"/>
    </row>
    <row r="114" spans="2:16" ht="15.5" outlineLevel="1" thickTop="1" thickBot="1" x14ac:dyDescent="0.4">
      <c r="B114" s="3">
        <f t="shared" ref="B114:C114" si="83">B31</f>
        <v>0</v>
      </c>
      <c r="C114" s="35">
        <f t="shared" si="83"/>
        <v>0</v>
      </c>
      <c r="D114" s="92">
        <v>0</v>
      </c>
      <c r="E114" s="93">
        <v>0</v>
      </c>
      <c r="F114" s="5">
        <f t="shared" si="59"/>
        <v>0</v>
      </c>
      <c r="G114" s="6">
        <f t="shared" si="71"/>
        <v>0</v>
      </c>
      <c r="H114" s="5">
        <f t="shared" si="61"/>
        <v>0</v>
      </c>
      <c r="I114" s="5">
        <f t="shared" si="65"/>
        <v>0</v>
      </c>
      <c r="J114" s="56" t="e">
        <f t="shared" si="72"/>
        <v>#DIV/0!</v>
      </c>
      <c r="K114" s="41">
        <f t="shared" si="73"/>
        <v>0</v>
      </c>
      <c r="L114" s="63">
        <f t="shared" si="74"/>
        <v>0</v>
      </c>
      <c r="M114" s="4">
        <f t="shared" si="77"/>
        <v>0</v>
      </c>
      <c r="N114" s="37">
        <f t="shared" si="75"/>
        <v>0</v>
      </c>
      <c r="O114" s="38">
        <f t="shared" si="76"/>
        <v>0</v>
      </c>
      <c r="P114" s="20"/>
    </row>
    <row r="115" spans="2:16" ht="15.5" outlineLevel="1" thickTop="1" thickBot="1" x14ac:dyDescent="0.4">
      <c r="B115" s="3">
        <f t="shared" ref="B115:C115" si="84">B32</f>
        <v>0</v>
      </c>
      <c r="C115" s="35">
        <f t="shared" si="84"/>
        <v>0</v>
      </c>
      <c r="D115" s="92">
        <v>0</v>
      </c>
      <c r="E115" s="93">
        <v>0</v>
      </c>
      <c r="F115" s="5">
        <f t="shared" si="59"/>
        <v>0</v>
      </c>
      <c r="G115" s="6">
        <f t="shared" si="71"/>
        <v>0</v>
      </c>
      <c r="H115" s="5">
        <f t="shared" si="61"/>
        <v>0</v>
      </c>
      <c r="I115" s="5">
        <f t="shared" si="65"/>
        <v>0</v>
      </c>
      <c r="J115" s="56" t="e">
        <f t="shared" si="72"/>
        <v>#DIV/0!</v>
      </c>
      <c r="K115" s="41">
        <f t="shared" si="73"/>
        <v>0</v>
      </c>
      <c r="L115" s="63">
        <f t="shared" si="74"/>
        <v>0</v>
      </c>
      <c r="M115" s="4">
        <f t="shared" si="77"/>
        <v>0</v>
      </c>
      <c r="N115" s="37">
        <f t="shared" si="75"/>
        <v>0</v>
      </c>
      <c r="O115" s="38">
        <f t="shared" si="76"/>
        <v>0</v>
      </c>
      <c r="P115" s="20"/>
    </row>
    <row r="116" spans="2:16" ht="15.5" outlineLevel="1" thickTop="1" thickBot="1" x14ac:dyDescent="0.4">
      <c r="B116" s="3">
        <f t="shared" ref="B116:C116" si="85">B33</f>
        <v>0</v>
      </c>
      <c r="C116" s="35">
        <f t="shared" si="85"/>
        <v>0</v>
      </c>
      <c r="D116" s="92">
        <v>0</v>
      </c>
      <c r="E116" s="93">
        <v>0</v>
      </c>
      <c r="F116" s="5">
        <f t="shared" si="59"/>
        <v>0</v>
      </c>
      <c r="G116" s="6">
        <f t="shared" si="71"/>
        <v>0</v>
      </c>
      <c r="H116" s="5">
        <f t="shared" si="61"/>
        <v>0</v>
      </c>
      <c r="I116" s="5">
        <f t="shared" si="65"/>
        <v>0</v>
      </c>
      <c r="J116" s="56" t="e">
        <f t="shared" si="72"/>
        <v>#DIV/0!</v>
      </c>
      <c r="K116" s="41">
        <f t="shared" si="73"/>
        <v>0</v>
      </c>
      <c r="L116" s="63">
        <f t="shared" si="74"/>
        <v>0</v>
      </c>
      <c r="M116" s="4">
        <f t="shared" si="77"/>
        <v>0</v>
      </c>
      <c r="N116" s="37">
        <f t="shared" si="75"/>
        <v>0</v>
      </c>
      <c r="O116" s="38">
        <f t="shared" si="76"/>
        <v>0</v>
      </c>
      <c r="P116" s="20"/>
    </row>
    <row r="117" spans="2:16" ht="15.5" outlineLevel="1" thickTop="1" thickBot="1" x14ac:dyDescent="0.4">
      <c r="B117" s="3">
        <f t="shared" ref="B117:C117" si="86">B34</f>
        <v>0</v>
      </c>
      <c r="C117" s="35">
        <f t="shared" si="86"/>
        <v>0</v>
      </c>
      <c r="D117" s="92">
        <v>0</v>
      </c>
      <c r="E117" s="93">
        <v>0</v>
      </c>
      <c r="F117" s="5">
        <f t="shared" si="59"/>
        <v>0</v>
      </c>
      <c r="G117" s="6">
        <f t="shared" si="71"/>
        <v>0</v>
      </c>
      <c r="H117" s="5">
        <f t="shared" si="61"/>
        <v>0</v>
      </c>
      <c r="I117" s="5">
        <f t="shared" si="65"/>
        <v>0</v>
      </c>
      <c r="J117" s="56" t="e">
        <f t="shared" si="72"/>
        <v>#DIV/0!</v>
      </c>
      <c r="K117" s="41">
        <f t="shared" si="73"/>
        <v>0</v>
      </c>
      <c r="L117" s="63">
        <f t="shared" si="74"/>
        <v>0</v>
      </c>
      <c r="M117" s="4">
        <f t="shared" si="77"/>
        <v>0</v>
      </c>
      <c r="N117" s="37">
        <f t="shared" si="75"/>
        <v>0</v>
      </c>
      <c r="O117" s="38">
        <f t="shared" si="76"/>
        <v>0</v>
      </c>
      <c r="P117" s="20"/>
    </row>
    <row r="118" spans="2:16" ht="15.5" outlineLevel="1" thickTop="1" thickBot="1" x14ac:dyDescent="0.4">
      <c r="B118" s="3">
        <f t="shared" ref="B118:C118" si="87">B35</f>
        <v>0</v>
      </c>
      <c r="C118" s="35">
        <f t="shared" si="87"/>
        <v>0</v>
      </c>
      <c r="D118" s="92">
        <v>0</v>
      </c>
      <c r="E118" s="93">
        <v>0</v>
      </c>
      <c r="F118" s="5">
        <f t="shared" si="59"/>
        <v>0</v>
      </c>
      <c r="G118" s="6">
        <f t="shared" si="71"/>
        <v>0</v>
      </c>
      <c r="H118" s="5">
        <f t="shared" si="61"/>
        <v>0</v>
      </c>
      <c r="I118" s="5">
        <f t="shared" si="65"/>
        <v>0</v>
      </c>
      <c r="J118" s="56" t="e">
        <f t="shared" si="72"/>
        <v>#DIV/0!</v>
      </c>
      <c r="K118" s="41">
        <f t="shared" si="73"/>
        <v>0</v>
      </c>
      <c r="L118" s="63">
        <f t="shared" si="74"/>
        <v>0</v>
      </c>
      <c r="M118" s="4">
        <f t="shared" si="77"/>
        <v>0</v>
      </c>
      <c r="N118" s="37">
        <f t="shared" si="75"/>
        <v>0</v>
      </c>
      <c r="O118" s="38">
        <f t="shared" si="76"/>
        <v>0</v>
      </c>
      <c r="P118" s="20"/>
    </row>
    <row r="119" spans="2:16" ht="15.5" outlineLevel="1" thickTop="1" thickBot="1" x14ac:dyDescent="0.4">
      <c r="B119" s="3">
        <f t="shared" ref="B119:C119" si="88">B36</f>
        <v>0</v>
      </c>
      <c r="C119" s="35">
        <f t="shared" si="88"/>
        <v>0</v>
      </c>
      <c r="D119" s="92">
        <v>0</v>
      </c>
      <c r="E119" s="93">
        <v>0</v>
      </c>
      <c r="F119" s="5">
        <f t="shared" si="59"/>
        <v>0</v>
      </c>
      <c r="G119" s="6">
        <f t="shared" si="71"/>
        <v>0</v>
      </c>
      <c r="H119" s="5">
        <f t="shared" si="61"/>
        <v>0</v>
      </c>
      <c r="I119" s="5">
        <f t="shared" si="65"/>
        <v>0</v>
      </c>
      <c r="J119" s="56" t="e">
        <f t="shared" si="72"/>
        <v>#DIV/0!</v>
      </c>
      <c r="K119" s="41">
        <f t="shared" si="73"/>
        <v>0</v>
      </c>
      <c r="L119" s="63">
        <f t="shared" si="74"/>
        <v>0</v>
      </c>
      <c r="M119" s="4">
        <f t="shared" si="77"/>
        <v>0</v>
      </c>
      <c r="N119" s="37">
        <f t="shared" si="75"/>
        <v>0</v>
      </c>
      <c r="O119" s="38">
        <f t="shared" si="76"/>
        <v>0</v>
      </c>
      <c r="P119" s="20"/>
    </row>
    <row r="120" spans="2:16" ht="15.5" outlineLevel="1" thickTop="1" thickBot="1" x14ac:dyDescent="0.4">
      <c r="B120" s="3">
        <f t="shared" ref="B120:C120" si="89">B37</f>
        <v>0</v>
      </c>
      <c r="C120" s="35">
        <f t="shared" si="89"/>
        <v>0</v>
      </c>
      <c r="D120" s="92">
        <v>0</v>
      </c>
      <c r="E120" s="93">
        <v>0</v>
      </c>
      <c r="F120" s="5">
        <f t="shared" si="59"/>
        <v>0</v>
      </c>
      <c r="G120" s="6">
        <f t="shared" si="71"/>
        <v>0</v>
      </c>
      <c r="H120" s="5">
        <f t="shared" si="61"/>
        <v>0</v>
      </c>
      <c r="I120" s="5">
        <f t="shared" si="65"/>
        <v>0</v>
      </c>
      <c r="J120" s="56" t="e">
        <f t="shared" si="72"/>
        <v>#DIV/0!</v>
      </c>
      <c r="K120" s="41">
        <f t="shared" si="73"/>
        <v>0</v>
      </c>
      <c r="L120" s="63">
        <f t="shared" si="74"/>
        <v>0</v>
      </c>
      <c r="M120" s="4">
        <f t="shared" si="77"/>
        <v>0</v>
      </c>
      <c r="N120" s="37">
        <f t="shared" si="75"/>
        <v>0</v>
      </c>
      <c r="O120" s="38">
        <f t="shared" si="76"/>
        <v>0</v>
      </c>
      <c r="P120" s="20"/>
    </row>
    <row r="121" spans="2:16" ht="15.5" outlineLevel="1" thickTop="1" thickBot="1" x14ac:dyDescent="0.4">
      <c r="B121" s="3">
        <f t="shared" ref="B121:C121" si="90">B38</f>
        <v>0</v>
      </c>
      <c r="C121" s="35">
        <f t="shared" si="90"/>
        <v>0</v>
      </c>
      <c r="D121" s="92">
        <v>0</v>
      </c>
      <c r="E121" s="93">
        <v>0</v>
      </c>
      <c r="F121" s="5">
        <f t="shared" si="59"/>
        <v>0</v>
      </c>
      <c r="G121" s="6">
        <f t="shared" si="71"/>
        <v>0</v>
      </c>
      <c r="H121" s="5">
        <f t="shared" si="61"/>
        <v>0</v>
      </c>
      <c r="I121" s="5">
        <f t="shared" si="65"/>
        <v>0</v>
      </c>
      <c r="J121" s="56" t="e">
        <f t="shared" si="72"/>
        <v>#DIV/0!</v>
      </c>
      <c r="K121" s="41">
        <f t="shared" si="73"/>
        <v>0</v>
      </c>
      <c r="L121" s="63">
        <f t="shared" si="74"/>
        <v>0</v>
      </c>
      <c r="M121" s="4">
        <f t="shared" si="77"/>
        <v>0</v>
      </c>
      <c r="N121" s="37">
        <f t="shared" si="75"/>
        <v>0</v>
      </c>
      <c r="O121" s="38">
        <f t="shared" si="76"/>
        <v>0</v>
      </c>
      <c r="P121" s="20"/>
    </row>
    <row r="122" spans="2:16" ht="15.5" outlineLevel="1" thickTop="1" thickBot="1" x14ac:dyDescent="0.4">
      <c r="B122" s="3">
        <f t="shared" ref="B122:C122" si="91">B39</f>
        <v>0</v>
      </c>
      <c r="C122" s="35">
        <f t="shared" si="91"/>
        <v>0</v>
      </c>
      <c r="D122" s="92">
        <v>0</v>
      </c>
      <c r="E122" s="93">
        <v>0</v>
      </c>
      <c r="F122" s="5">
        <f t="shared" si="59"/>
        <v>0</v>
      </c>
      <c r="G122" s="6">
        <f t="shared" si="71"/>
        <v>0</v>
      </c>
      <c r="H122" s="5">
        <f t="shared" si="61"/>
        <v>0</v>
      </c>
      <c r="I122" s="5">
        <f t="shared" si="65"/>
        <v>0</v>
      </c>
      <c r="J122" s="56" t="e">
        <f t="shared" si="72"/>
        <v>#DIV/0!</v>
      </c>
      <c r="K122" s="41">
        <f t="shared" si="73"/>
        <v>0</v>
      </c>
      <c r="L122" s="63">
        <f t="shared" si="74"/>
        <v>0</v>
      </c>
      <c r="M122" s="4">
        <f t="shared" si="77"/>
        <v>0</v>
      </c>
      <c r="N122" s="37">
        <f t="shared" si="75"/>
        <v>0</v>
      </c>
      <c r="O122" s="38">
        <f t="shared" si="76"/>
        <v>0</v>
      </c>
      <c r="P122" s="20"/>
    </row>
    <row r="123" spans="2:16" ht="15.5" outlineLevel="1" thickTop="1" thickBot="1" x14ac:dyDescent="0.4">
      <c r="B123" s="3">
        <f t="shared" ref="B123:C123" si="92">B40</f>
        <v>0</v>
      </c>
      <c r="C123" s="35">
        <f t="shared" si="92"/>
        <v>0</v>
      </c>
      <c r="D123" s="92">
        <v>0</v>
      </c>
      <c r="E123" s="93">
        <v>0</v>
      </c>
      <c r="F123" s="5">
        <f t="shared" si="59"/>
        <v>0</v>
      </c>
      <c r="G123" s="6">
        <f t="shared" si="71"/>
        <v>0</v>
      </c>
      <c r="H123" s="5">
        <f t="shared" si="61"/>
        <v>0</v>
      </c>
      <c r="I123" s="5">
        <f t="shared" si="65"/>
        <v>0</v>
      </c>
      <c r="J123" s="56" t="e">
        <f t="shared" si="72"/>
        <v>#DIV/0!</v>
      </c>
      <c r="K123" s="41">
        <f t="shared" si="73"/>
        <v>0</v>
      </c>
      <c r="L123" s="63">
        <f t="shared" si="74"/>
        <v>0</v>
      </c>
      <c r="M123" s="4">
        <f t="shared" si="77"/>
        <v>0</v>
      </c>
      <c r="N123" s="37">
        <f t="shared" si="75"/>
        <v>0</v>
      </c>
      <c r="O123" s="38">
        <f t="shared" si="76"/>
        <v>0</v>
      </c>
      <c r="P123" s="20"/>
    </row>
    <row r="124" spans="2:16" ht="15.5" outlineLevel="1" thickTop="1" thickBot="1" x14ac:dyDescent="0.4">
      <c r="B124" s="3">
        <f t="shared" ref="B124:C125" si="93">B41</f>
        <v>0</v>
      </c>
      <c r="C124" s="35">
        <f t="shared" si="93"/>
        <v>0</v>
      </c>
      <c r="D124" s="92">
        <v>0</v>
      </c>
      <c r="E124" s="93">
        <v>0</v>
      </c>
      <c r="F124" s="5">
        <f t="shared" si="59"/>
        <v>0</v>
      </c>
      <c r="G124" s="6">
        <f t="shared" si="71"/>
        <v>0</v>
      </c>
      <c r="H124" s="5">
        <f t="shared" si="61"/>
        <v>0</v>
      </c>
      <c r="I124" s="5">
        <f t="shared" si="65"/>
        <v>0</v>
      </c>
      <c r="J124" s="56" t="e">
        <f t="shared" si="72"/>
        <v>#DIV/0!</v>
      </c>
      <c r="K124" s="41">
        <f t="shared" si="73"/>
        <v>0</v>
      </c>
      <c r="L124" s="63">
        <f t="shared" si="74"/>
        <v>0</v>
      </c>
      <c r="M124" s="4">
        <f t="shared" si="77"/>
        <v>0</v>
      </c>
      <c r="N124" s="37">
        <f t="shared" si="75"/>
        <v>0</v>
      </c>
      <c r="O124" s="38">
        <f t="shared" si="76"/>
        <v>0</v>
      </c>
      <c r="P124" s="20"/>
    </row>
    <row r="125" spans="2:16" ht="15.5" outlineLevel="1" thickTop="1" thickBot="1" x14ac:dyDescent="0.4">
      <c r="B125" s="3" t="s">
        <v>7</v>
      </c>
      <c r="C125" s="35">
        <f t="shared" si="93"/>
        <v>0</v>
      </c>
      <c r="D125" s="131">
        <v>475.95333099365234</v>
      </c>
      <c r="E125" s="59">
        <f>E42</f>
        <v>0</v>
      </c>
      <c r="F125" s="59">
        <f>E125</f>
        <v>0</v>
      </c>
      <c r="G125" s="58">
        <f>D125/$F$127</f>
        <v>1.7678492656120731E-2</v>
      </c>
      <c r="H125" s="40">
        <f>D125*(1+H2)^(180/360)</f>
        <v>475.95333099365234</v>
      </c>
      <c r="I125" s="57"/>
      <c r="J125" s="134">
        <f>H125/D125-1</f>
        <v>0</v>
      </c>
      <c r="K125" s="41">
        <f>H125+I127-SUMPRODUCT(D130:D146,E130:E146)</f>
        <v>106.79399681091309</v>
      </c>
      <c r="L125" s="55"/>
      <c r="M125" s="42">
        <f>K125</f>
        <v>106.79399681091309</v>
      </c>
      <c r="N125" s="43">
        <f>M125/$M$127</f>
        <v>3.5542300010519227E-3</v>
      </c>
      <c r="O125" s="38">
        <f>N125-N42</f>
        <v>-1.089679812112357E-3</v>
      </c>
      <c r="P125" s="20"/>
    </row>
    <row r="126" spans="2:16" ht="15.5" outlineLevel="1" thickTop="1" thickBot="1" x14ac:dyDescent="0.4">
      <c r="B126" s="20"/>
      <c r="C126" s="20"/>
      <c r="D126" s="44"/>
      <c r="E126" s="44"/>
      <c r="F126" s="45"/>
      <c r="G126" s="45"/>
      <c r="H126" s="46"/>
      <c r="I126" s="46"/>
      <c r="J126" s="46"/>
      <c r="K126" s="44"/>
      <c r="L126" s="44"/>
      <c r="M126" s="45"/>
      <c r="N126" s="46"/>
    </row>
    <row r="127" spans="2:16" ht="15.5" outlineLevel="1" thickTop="1" thickBot="1" x14ac:dyDescent="0.4">
      <c r="B127" s="9" t="s">
        <v>10</v>
      </c>
      <c r="C127" s="9"/>
      <c r="D127" s="9"/>
      <c r="E127" s="48"/>
      <c r="F127" s="10">
        <f>SUMPRODUCT(D90:D106,F90:F106)+D125</f>
        <v>26922.732624993656</v>
      </c>
      <c r="G127" s="11">
        <f>SUM(G90:G125)</f>
        <v>0.99999999999999989</v>
      </c>
      <c r="H127" s="48">
        <f>SUMPRODUCT(D90:D106,H90:H106)+H125</f>
        <v>29644.513496398926</v>
      </c>
      <c r="I127" s="48">
        <f>SUM(I90:I125)</f>
        <v>402.49999999999994</v>
      </c>
      <c r="J127" s="13">
        <f>(H127+I127)/F127-1</f>
        <v>0.11604620210449412</v>
      </c>
      <c r="K127" s="102" t="s">
        <v>120</v>
      </c>
      <c r="L127" s="47"/>
      <c r="M127" s="48">
        <f>SUM(M90:M125)</f>
        <v>30047.013496398926</v>
      </c>
      <c r="N127" s="47">
        <f>SUM(N90:N125)</f>
        <v>0.99999999999999989</v>
      </c>
      <c r="O127" s="12" cm="1">
        <f t="array" ref="O127">SUM(ABS(O90:O125))</f>
        <v>4.9796601325648006E-3</v>
      </c>
      <c r="P127" s="24" t="str">
        <f>IF(O127&lt;0.1,"Excelente",IF(AND(O127&lt;=0.2,O127&gt;=0.1),"Buena",IF(AND(O127&lt;=0.35,O127&gt;0.2),"Regular","Mala")))</f>
        <v>Excelente</v>
      </c>
    </row>
    <row r="128" spans="2:16" ht="26" customHeight="1" outlineLevel="1" thickTop="1" thickBot="1" x14ac:dyDescent="0.4">
      <c r="B128" s="49"/>
      <c r="C128" s="49"/>
      <c r="D128" s="49"/>
      <c r="E128" s="49"/>
      <c r="F128" s="50"/>
      <c r="G128" s="90"/>
      <c r="H128" s="51"/>
      <c r="I128" s="51"/>
      <c r="J128" s="13">
        <f>LN((H127+I127)/F127)</f>
        <v>0.10979226283738359</v>
      </c>
      <c r="K128" s="22" t="s">
        <v>119</v>
      </c>
      <c r="L128" s="51"/>
      <c r="M128" s="52"/>
      <c r="N128" s="51"/>
      <c r="O128" s="143" t="s">
        <v>13</v>
      </c>
      <c r="P128" s="144"/>
    </row>
    <row r="129" spans="2:15" ht="15.5" outlineLevel="1" thickTop="1" thickBot="1" x14ac:dyDescent="0.4">
      <c r="B129" s="53" t="str">
        <f>B46</f>
        <v>Movimientos 02-05-2025 (precios MXN cierre):</v>
      </c>
      <c r="C129" s="20"/>
      <c r="D129" s="65" t="s">
        <v>25</v>
      </c>
      <c r="E129" s="66" t="s">
        <v>24</v>
      </c>
      <c r="H129" s="20"/>
      <c r="I129" s="20"/>
      <c r="J129" s="20"/>
      <c r="K129" s="20"/>
      <c r="L129" s="20"/>
      <c r="M129" s="20"/>
      <c r="N129" s="20"/>
      <c r="O129" s="20"/>
    </row>
    <row r="130" spans="2:15" ht="15.5" outlineLevel="1" thickTop="1" thickBot="1" x14ac:dyDescent="0.4">
      <c r="B130" s="3" t="str">
        <f>B47</f>
        <v>ALSEA</v>
      </c>
      <c r="C130" s="3" t="str">
        <f>C47</f>
        <v>Alsea SA</v>
      </c>
      <c r="D130" s="67">
        <f>IFERROR(ROUND(N7*($H$127+$I$127)/E130,0)-D90,0)</f>
        <v>41</v>
      </c>
      <c r="E130" s="94">
        <f t="shared" ref="E130:E146" si="94">H90</f>
        <v>43.970001220703125</v>
      </c>
      <c r="H130" s="20"/>
      <c r="I130" s="68"/>
      <c r="J130" s="20"/>
      <c r="K130" s="20"/>
      <c r="L130" s="20"/>
      <c r="M130" s="20"/>
      <c r="N130" s="156"/>
      <c r="O130" s="156"/>
    </row>
    <row r="131" spans="2:15" ht="15.5" outlineLevel="1" thickTop="1" thickBot="1" x14ac:dyDescent="0.4">
      <c r="B131" s="3" t="str">
        <f t="shared" ref="B131:C131" si="95">B48</f>
        <v>LIVEPOLC-1</v>
      </c>
      <c r="C131" s="3" t="str">
        <f t="shared" si="95"/>
        <v>El Puerto de Liverpool SAB de CV</v>
      </c>
      <c r="D131" s="67">
        <f t="shared" ref="D131:D164" si="96">IFERROR(ROUND(N8*($H$127+$I$127)/E131,0)-D91,0)</f>
        <v>-16</v>
      </c>
      <c r="E131" s="94">
        <f t="shared" si="94"/>
        <v>90.30999755859375</v>
      </c>
      <c r="H131" s="20"/>
      <c r="I131" s="68"/>
      <c r="J131" s="20"/>
      <c r="K131" s="20"/>
      <c r="L131" s="20"/>
      <c r="M131" s="20"/>
      <c r="N131" s="20"/>
      <c r="O131" s="20"/>
    </row>
    <row r="132" spans="2:15" ht="15.5" outlineLevel="1" thickTop="1" thickBot="1" x14ac:dyDescent="0.4">
      <c r="B132" s="3" t="str">
        <f t="shared" ref="B132:C132" si="97">B49</f>
        <v>GAPB</v>
      </c>
      <c r="C132" s="3" t="str">
        <f t="shared" si="97"/>
        <v>Grupo Aeroportuario del Pacifico, S.A.B. de C.V.</v>
      </c>
      <c r="D132" s="67">
        <f t="shared" si="96"/>
        <v>-56</v>
      </c>
      <c r="E132" s="94">
        <f t="shared" si="94"/>
        <v>397.3800048828125</v>
      </c>
      <c r="H132" s="20"/>
      <c r="I132" s="68"/>
      <c r="J132" s="20"/>
      <c r="K132" s="20"/>
      <c r="L132" s="20"/>
      <c r="M132" s="20"/>
      <c r="N132" s="20"/>
      <c r="O132" s="20"/>
    </row>
    <row r="133" spans="2:15" ht="15.5" outlineLevel="1" thickTop="1" thickBot="1" x14ac:dyDescent="0.4">
      <c r="B133" s="3" t="str">
        <f t="shared" ref="B133:C133" si="98">B50</f>
        <v>WALMEX</v>
      </c>
      <c r="C133" s="3" t="str">
        <f t="shared" si="98"/>
        <v>Walmart de Mexico SAB de CV</v>
      </c>
      <c r="D133" s="67">
        <f t="shared" si="96"/>
        <v>-5</v>
      </c>
      <c r="E133" s="94">
        <f t="shared" si="94"/>
        <v>62.130001068115234</v>
      </c>
      <c r="H133" s="20"/>
      <c r="I133" s="68"/>
      <c r="J133" s="20"/>
      <c r="K133" s="20"/>
      <c r="L133" s="20"/>
      <c r="M133" s="20"/>
      <c r="N133" s="20"/>
      <c r="O133" s="20"/>
    </row>
    <row r="134" spans="2:15" ht="15.5" outlineLevel="1" thickTop="1" thickBot="1" x14ac:dyDescent="0.4">
      <c r="B134" s="3" t="str">
        <f t="shared" ref="B134:C134" si="99">B51</f>
        <v>CEMEXCPO</v>
      </c>
      <c r="C134" s="3" t="str">
        <f t="shared" si="99"/>
        <v>Cemex SA CPO</v>
      </c>
      <c r="D134" s="67">
        <f t="shared" si="96"/>
        <v>-4</v>
      </c>
      <c r="E134" s="94">
        <f t="shared" si="94"/>
        <v>12.130000114440918</v>
      </c>
      <c r="H134" s="20"/>
    </row>
    <row r="135" spans="2:15" ht="15.5" outlineLevel="1" thickTop="1" thickBot="1" x14ac:dyDescent="0.4">
      <c r="B135" s="3" t="str">
        <f t="shared" ref="B135:C135" si="100">B52</f>
        <v>PE&amp;OLES</v>
      </c>
      <c r="C135" s="3" t="str">
        <f t="shared" si="100"/>
        <v>Industrias Penoles</v>
      </c>
      <c r="D135" s="67">
        <f t="shared" si="96"/>
        <v>5</v>
      </c>
      <c r="E135" s="94">
        <f t="shared" si="94"/>
        <v>392.989990234375</v>
      </c>
      <c r="H135" s="20"/>
    </row>
    <row r="136" spans="2:15" ht="15.5" outlineLevel="1" thickTop="1" thickBot="1" x14ac:dyDescent="0.4">
      <c r="B136" s="3" t="str">
        <f t="shared" ref="B136:C136" si="101">B53</f>
        <v>BBAJIOO</v>
      </c>
      <c r="C136" s="3" t="str">
        <f t="shared" si="101"/>
        <v>Banco del Bajio, S.A.</v>
      </c>
      <c r="D136" s="67">
        <f t="shared" si="96"/>
        <v>-13</v>
      </c>
      <c r="E136" s="94">
        <f t="shared" si="94"/>
        <v>47.060001373291016</v>
      </c>
      <c r="H136" s="20"/>
    </row>
    <row r="137" spans="2:15" ht="15.5" outlineLevel="1" thickTop="1" thickBot="1" x14ac:dyDescent="0.4">
      <c r="B137" s="3" t="str">
        <f t="shared" ref="B137:C137" si="102">B54</f>
        <v>CUERVO</v>
      </c>
      <c r="C137" s="3" t="str">
        <f t="shared" si="102"/>
        <v>Becle, S.A. De C.V.</v>
      </c>
      <c r="D137" s="67">
        <f t="shared" si="96"/>
        <v>86</v>
      </c>
      <c r="E137" s="94">
        <f t="shared" si="94"/>
        <v>22.670000076293945</v>
      </c>
      <c r="H137" s="20"/>
    </row>
    <row r="138" spans="2:15" ht="15.5" outlineLevel="1" thickTop="1" thickBot="1" x14ac:dyDescent="0.4">
      <c r="B138" s="3" t="str">
        <f t="shared" ref="B138:C138" si="103">B55</f>
        <v>KIMBERA</v>
      </c>
      <c r="C138" s="3" t="str">
        <f t="shared" si="103"/>
        <v>Kimberly Clark de Mexico S.A.B. de C.V. A</v>
      </c>
      <c r="D138" s="67">
        <f t="shared" si="96"/>
        <v>-7</v>
      </c>
      <c r="E138" s="94">
        <f t="shared" si="94"/>
        <v>34.5</v>
      </c>
      <c r="H138" s="20"/>
    </row>
    <row r="139" spans="2:15" ht="15.5" outlineLevel="1" thickTop="1" thickBot="1" x14ac:dyDescent="0.4">
      <c r="B139" s="3" t="str">
        <f t="shared" ref="B139:C139" si="104">B56</f>
        <v>Q</v>
      </c>
      <c r="C139" s="3" t="str">
        <f t="shared" si="104"/>
        <v>Qualitas Controladora S.A.B de C.V.</v>
      </c>
      <c r="D139" s="67">
        <f t="shared" si="96"/>
        <v>7</v>
      </c>
      <c r="E139" s="94">
        <f t="shared" si="94"/>
        <v>216.94999694824219</v>
      </c>
      <c r="H139" s="20"/>
    </row>
    <row r="140" spans="2:15" ht="15.5" outlineLevel="1" thickTop="1" thickBot="1" x14ac:dyDescent="0.4">
      <c r="B140" s="3" t="str">
        <f t="shared" ref="B140:C140" si="105">B57</f>
        <v>BOLSAA</v>
      </c>
      <c r="C140" s="3" t="str">
        <f t="shared" si="105"/>
        <v>Bolsa Mexicana de Valores SA de CV</v>
      </c>
      <c r="D140" s="67">
        <f t="shared" si="96"/>
        <v>85</v>
      </c>
      <c r="E140" s="94">
        <f t="shared" si="94"/>
        <v>41.319999694824219</v>
      </c>
      <c r="H140" s="20"/>
    </row>
    <row r="141" spans="2:15" ht="15.5" outlineLevel="1" thickTop="1" thickBot="1" x14ac:dyDescent="0.4">
      <c r="B141" s="3" t="str">
        <f t="shared" ref="B141:C141" si="106">B58</f>
        <v>GENTERA</v>
      </c>
      <c r="C141" s="3" t="str">
        <f t="shared" si="106"/>
        <v>Gentera SAB de CV</v>
      </c>
      <c r="D141" s="67">
        <f t="shared" si="96"/>
        <v>102</v>
      </c>
      <c r="E141" s="94">
        <f t="shared" si="94"/>
        <v>34.189998626708984</v>
      </c>
      <c r="H141" s="20"/>
    </row>
    <row r="142" spans="2:15" ht="15.5" outlineLevel="1" thickTop="1" thickBot="1" x14ac:dyDescent="0.4">
      <c r="B142" s="3" t="str">
        <f t="shared" ref="B142:C142" si="107">B59</f>
        <v>GFNORTEO</v>
      </c>
      <c r="C142" s="3" t="str">
        <f t="shared" si="107"/>
        <v>Grupo Financiero Banorte O</v>
      </c>
      <c r="D142" s="67">
        <f t="shared" si="96"/>
        <v>12</v>
      </c>
      <c r="E142" s="94">
        <f t="shared" si="94"/>
        <v>168.14999389648438</v>
      </c>
      <c r="H142" s="20"/>
    </row>
    <row r="143" spans="2:15" ht="15.5" outlineLevel="1" thickTop="1" thickBot="1" x14ac:dyDescent="0.4">
      <c r="B143" s="3" t="str">
        <f t="shared" ref="B143:C143" si="108">B60</f>
        <v>MEGACPO</v>
      </c>
      <c r="C143" s="3" t="str">
        <f t="shared" si="108"/>
        <v>Megacable Holdings SAB de CV</v>
      </c>
      <c r="D143" s="67">
        <f t="shared" si="96"/>
        <v>42</v>
      </c>
      <c r="E143" s="94">
        <f t="shared" si="94"/>
        <v>47.700000762939453</v>
      </c>
      <c r="H143" s="20"/>
    </row>
    <row r="144" spans="2:15" ht="15.5" outlineLevel="1" thickTop="1" thickBot="1" x14ac:dyDescent="0.4">
      <c r="B144" s="3" t="str">
        <f t="shared" ref="B144:C144" si="109">B61</f>
        <v>OMAB</v>
      </c>
      <c r="C144" s="3" t="str">
        <f t="shared" si="109"/>
        <v>Grupo Aeroportuario del Centro Norte, S.A.B. de C.V.</v>
      </c>
      <c r="D144" s="67">
        <f t="shared" si="96"/>
        <v>9</v>
      </c>
      <c r="E144" s="94">
        <f t="shared" si="94"/>
        <v>215.78999328613281</v>
      </c>
      <c r="H144" s="20"/>
    </row>
    <row r="145" spans="2:8" ht="15.5" outlineLevel="1" thickTop="1" thickBot="1" x14ac:dyDescent="0.4">
      <c r="B145" s="3" t="str">
        <f t="shared" ref="B145:C145" si="110">B62</f>
        <v>ORBIA</v>
      </c>
      <c r="C145" s="3" t="str">
        <f t="shared" si="110"/>
        <v>ORBIA ADVANCE CORPORATION SAB de CV</v>
      </c>
      <c r="D145" s="67">
        <f t="shared" si="96"/>
        <v>265</v>
      </c>
      <c r="E145" s="94">
        <f t="shared" si="94"/>
        <v>13.239999771118164</v>
      </c>
      <c r="H145" s="20"/>
    </row>
    <row r="146" spans="2:8" ht="15.5" outlineLevel="1" thickTop="1" thickBot="1" x14ac:dyDescent="0.4">
      <c r="B146" s="3" t="str">
        <f t="shared" ref="B146:C146" si="111">B63</f>
        <v>PINFRA</v>
      </c>
      <c r="C146" s="3" t="str">
        <f t="shared" si="111"/>
        <v>Promotora y Operadora de Infraestructura SAB de CV</v>
      </c>
      <c r="D146" s="67">
        <f t="shared" si="96"/>
        <v>9</v>
      </c>
      <c r="E146" s="94">
        <f t="shared" si="94"/>
        <v>219.42999267578125</v>
      </c>
      <c r="H146" s="20"/>
    </row>
    <row r="147" spans="2:8" ht="15.5" outlineLevel="1" thickTop="1" thickBot="1" x14ac:dyDescent="0.4">
      <c r="B147" s="3">
        <f t="shared" ref="B147:C147" si="112">B64</f>
        <v>0</v>
      </c>
      <c r="C147" s="3">
        <f t="shared" si="112"/>
        <v>0</v>
      </c>
      <c r="D147" s="67">
        <f t="shared" si="96"/>
        <v>0</v>
      </c>
      <c r="E147" s="94">
        <f t="shared" ref="E147:E164" si="113">H107</f>
        <v>0</v>
      </c>
    </row>
    <row r="148" spans="2:8" ht="15.5" outlineLevel="1" thickTop="1" thickBot="1" x14ac:dyDescent="0.4">
      <c r="B148" s="3">
        <f t="shared" ref="B148:C148" si="114">B65</f>
        <v>0</v>
      </c>
      <c r="C148" s="3">
        <f t="shared" si="114"/>
        <v>0</v>
      </c>
      <c r="D148" s="67">
        <f t="shared" si="96"/>
        <v>0</v>
      </c>
      <c r="E148" s="94">
        <f t="shared" si="113"/>
        <v>0</v>
      </c>
    </row>
    <row r="149" spans="2:8" ht="15.5" outlineLevel="1" thickTop="1" thickBot="1" x14ac:dyDescent="0.4">
      <c r="B149" s="3">
        <f t="shared" ref="B149:C149" si="115">B66</f>
        <v>0</v>
      </c>
      <c r="C149" s="3">
        <f t="shared" si="115"/>
        <v>0</v>
      </c>
      <c r="D149" s="67">
        <f t="shared" si="96"/>
        <v>0</v>
      </c>
      <c r="E149" s="94">
        <f t="shared" si="113"/>
        <v>0</v>
      </c>
    </row>
    <row r="150" spans="2:8" ht="15.5" outlineLevel="1" thickTop="1" thickBot="1" x14ac:dyDescent="0.4">
      <c r="B150" s="3">
        <f t="shared" ref="B150:C150" si="116">B67</f>
        <v>0</v>
      </c>
      <c r="C150" s="3">
        <f t="shared" si="116"/>
        <v>0</v>
      </c>
      <c r="D150" s="67">
        <f t="shared" si="96"/>
        <v>0</v>
      </c>
      <c r="E150" s="94">
        <f t="shared" si="113"/>
        <v>0</v>
      </c>
    </row>
    <row r="151" spans="2:8" ht="15.5" outlineLevel="1" thickTop="1" thickBot="1" x14ac:dyDescent="0.4">
      <c r="B151" s="3">
        <f t="shared" ref="B151:C151" si="117">B68</f>
        <v>0</v>
      </c>
      <c r="C151" s="3">
        <f t="shared" si="117"/>
        <v>0</v>
      </c>
      <c r="D151" s="67">
        <f t="shared" si="96"/>
        <v>0</v>
      </c>
      <c r="E151" s="94">
        <f t="shared" si="113"/>
        <v>0</v>
      </c>
    </row>
    <row r="152" spans="2:8" ht="15.5" outlineLevel="1" thickTop="1" thickBot="1" x14ac:dyDescent="0.4">
      <c r="B152" s="3">
        <f t="shared" ref="B152:C152" si="118">B69</f>
        <v>0</v>
      </c>
      <c r="C152" s="3">
        <f t="shared" si="118"/>
        <v>0</v>
      </c>
      <c r="D152" s="67">
        <f t="shared" si="96"/>
        <v>0</v>
      </c>
      <c r="E152" s="94">
        <f t="shared" si="113"/>
        <v>0</v>
      </c>
    </row>
    <row r="153" spans="2:8" ht="15.5" outlineLevel="1" thickTop="1" thickBot="1" x14ac:dyDescent="0.4">
      <c r="B153" s="3">
        <f t="shared" ref="B153:C153" si="119">B70</f>
        <v>0</v>
      </c>
      <c r="C153" s="3">
        <f t="shared" si="119"/>
        <v>0</v>
      </c>
      <c r="D153" s="67">
        <f t="shared" si="96"/>
        <v>0</v>
      </c>
      <c r="E153" s="94">
        <f t="shared" si="113"/>
        <v>0</v>
      </c>
    </row>
    <row r="154" spans="2:8" ht="15.5" outlineLevel="1" thickTop="1" thickBot="1" x14ac:dyDescent="0.4">
      <c r="B154" s="3">
        <f t="shared" ref="B154:C154" si="120">B71</f>
        <v>0</v>
      </c>
      <c r="C154" s="3">
        <f t="shared" si="120"/>
        <v>0</v>
      </c>
      <c r="D154" s="67">
        <f t="shared" si="96"/>
        <v>0</v>
      </c>
      <c r="E154" s="94">
        <f t="shared" si="113"/>
        <v>0</v>
      </c>
    </row>
    <row r="155" spans="2:8" ht="15.5" outlineLevel="1" thickTop="1" thickBot="1" x14ac:dyDescent="0.4">
      <c r="B155" s="3">
        <f t="shared" ref="B155:C155" si="121">B72</f>
        <v>0</v>
      </c>
      <c r="C155" s="3">
        <f t="shared" si="121"/>
        <v>0</v>
      </c>
      <c r="D155" s="67">
        <f t="shared" si="96"/>
        <v>0</v>
      </c>
      <c r="E155" s="94">
        <f t="shared" si="113"/>
        <v>0</v>
      </c>
    </row>
    <row r="156" spans="2:8" ht="15.5" outlineLevel="1" thickTop="1" thickBot="1" x14ac:dyDescent="0.4">
      <c r="B156" s="3">
        <f t="shared" ref="B156:C156" si="122">B73</f>
        <v>0</v>
      </c>
      <c r="C156" s="3">
        <f t="shared" si="122"/>
        <v>0</v>
      </c>
      <c r="D156" s="67">
        <f t="shared" si="96"/>
        <v>0</v>
      </c>
      <c r="E156" s="94">
        <f t="shared" si="113"/>
        <v>0</v>
      </c>
    </row>
    <row r="157" spans="2:8" ht="15.5" outlineLevel="1" thickTop="1" thickBot="1" x14ac:dyDescent="0.4">
      <c r="B157" s="3">
        <f t="shared" ref="B157:C157" si="123">B74</f>
        <v>0</v>
      </c>
      <c r="C157" s="3">
        <f t="shared" si="123"/>
        <v>0</v>
      </c>
      <c r="D157" s="67">
        <f t="shared" si="96"/>
        <v>0</v>
      </c>
      <c r="E157" s="94">
        <f t="shared" si="113"/>
        <v>0</v>
      </c>
    </row>
    <row r="158" spans="2:8" ht="15.5" outlineLevel="1" thickTop="1" thickBot="1" x14ac:dyDescent="0.4">
      <c r="B158" s="3">
        <f t="shared" ref="B158:C158" si="124">B75</f>
        <v>0</v>
      </c>
      <c r="C158" s="3">
        <f t="shared" si="124"/>
        <v>0</v>
      </c>
      <c r="D158" s="67">
        <f t="shared" si="96"/>
        <v>0</v>
      </c>
      <c r="E158" s="94">
        <f t="shared" si="113"/>
        <v>0</v>
      </c>
    </row>
    <row r="159" spans="2:8" ht="15.5" outlineLevel="1" thickTop="1" thickBot="1" x14ac:dyDescent="0.4">
      <c r="B159" s="3">
        <f t="shared" ref="B159:C159" si="125">B76</f>
        <v>0</v>
      </c>
      <c r="C159" s="3">
        <f t="shared" si="125"/>
        <v>0</v>
      </c>
      <c r="D159" s="67">
        <f t="shared" si="96"/>
        <v>0</v>
      </c>
      <c r="E159" s="94">
        <f t="shared" si="113"/>
        <v>0</v>
      </c>
    </row>
    <row r="160" spans="2:8" ht="15.5" outlineLevel="1" thickTop="1" thickBot="1" x14ac:dyDescent="0.4">
      <c r="B160" s="3">
        <f t="shared" ref="B160:C160" si="126">B77</f>
        <v>0</v>
      </c>
      <c r="C160" s="3">
        <f t="shared" si="126"/>
        <v>0</v>
      </c>
      <c r="D160" s="67">
        <f t="shared" si="96"/>
        <v>0</v>
      </c>
      <c r="E160" s="94">
        <f t="shared" si="113"/>
        <v>0</v>
      </c>
    </row>
    <row r="161" spans="2:5" ht="15.5" outlineLevel="1" thickTop="1" thickBot="1" x14ac:dyDescent="0.4">
      <c r="B161" s="3">
        <f t="shared" ref="B161:C161" si="127">B78</f>
        <v>0</v>
      </c>
      <c r="C161" s="3">
        <f t="shared" si="127"/>
        <v>0</v>
      </c>
      <c r="D161" s="67">
        <f t="shared" si="96"/>
        <v>0</v>
      </c>
      <c r="E161" s="94">
        <f t="shared" si="113"/>
        <v>0</v>
      </c>
    </row>
    <row r="162" spans="2:5" ht="15.5" outlineLevel="1" thickTop="1" thickBot="1" x14ac:dyDescent="0.4">
      <c r="B162" s="3">
        <f t="shared" ref="B162:C162" si="128">B79</f>
        <v>0</v>
      </c>
      <c r="C162" s="3">
        <f t="shared" si="128"/>
        <v>0</v>
      </c>
      <c r="D162" s="67">
        <f t="shared" si="96"/>
        <v>0</v>
      </c>
      <c r="E162" s="94">
        <f t="shared" si="113"/>
        <v>0</v>
      </c>
    </row>
    <row r="163" spans="2:5" ht="15.5" outlineLevel="1" thickTop="1" thickBot="1" x14ac:dyDescent="0.4">
      <c r="B163" s="3">
        <f t="shared" ref="B163:C163" si="129">B80</f>
        <v>0</v>
      </c>
      <c r="C163" s="3">
        <f t="shared" si="129"/>
        <v>0</v>
      </c>
      <c r="D163" s="67">
        <f t="shared" si="96"/>
        <v>0</v>
      </c>
      <c r="E163" s="94">
        <f t="shared" si="113"/>
        <v>0</v>
      </c>
    </row>
    <row r="164" spans="2:5" ht="15.5" outlineLevel="1" thickTop="1" thickBot="1" x14ac:dyDescent="0.4">
      <c r="B164" s="3">
        <f t="shared" ref="B164:C164" si="130">B81</f>
        <v>0</v>
      </c>
      <c r="C164" s="3">
        <f t="shared" si="130"/>
        <v>0</v>
      </c>
      <c r="D164" s="67">
        <f t="shared" si="96"/>
        <v>0</v>
      </c>
      <c r="E164" s="94">
        <f t="shared" si="113"/>
        <v>0</v>
      </c>
    </row>
    <row r="165" spans="2:5" ht="15" thickTop="1" x14ac:dyDescent="0.35"/>
  </sheetData>
  <sheetProtection algorithmName="SHA-512" hashValue="M/0AOfRIAuZPGxGWNm44NB7SAmHEHg2xe4iC/+mfWaD7u0TPMI/jFEP5H05oq/gHQ6wnK6uO04DZ0i4UdLdJaw==" saltValue="y80gjyNQC6YZvii2SLBauw==" spinCount="100000" sheet="1" objects="1" scenarios="1" formatRows="0"/>
  <mergeCells count="13">
    <mergeCell ref="N130:O130"/>
    <mergeCell ref="B85:K86"/>
    <mergeCell ref="O128:P128"/>
    <mergeCell ref="D88:J88"/>
    <mergeCell ref="B84:D84"/>
    <mergeCell ref="B88:C88"/>
    <mergeCell ref="F2:G2"/>
    <mergeCell ref="K88:N88"/>
    <mergeCell ref="K5:N5"/>
    <mergeCell ref="N47:O47"/>
    <mergeCell ref="B2:C2"/>
    <mergeCell ref="D5:J5"/>
    <mergeCell ref="B3:C3"/>
  </mergeCells>
  <conditionalFormatting sqref="J7:J41 J90:J124">
    <cfRule type="cellIs" dxfId="13" priority="25" operator="lessThan">
      <formula>0</formula>
    </cfRule>
    <cfRule type="cellIs" dxfId="12" priority="26" operator="greaterThan">
      <formula>0</formula>
    </cfRule>
  </conditionalFormatting>
  <conditionalFormatting sqref="J44:J45">
    <cfRule type="cellIs" dxfId="11" priority="23" operator="lessThan">
      <formula>0</formula>
    </cfRule>
    <cfRule type="cellIs" dxfId="10" priority="24" operator="greaterThan">
      <formula>0</formula>
    </cfRule>
  </conditionalFormatting>
  <conditionalFormatting sqref="J127:J128">
    <cfRule type="cellIs" dxfId="9" priority="1" operator="lessThan">
      <formula>0</formula>
    </cfRule>
    <cfRule type="cellIs" dxfId="8" priority="2" operator="greaterThan">
      <formula>0</formula>
    </cfRule>
  </conditionalFormatting>
  <conditionalFormatting sqref="K7:K42 K42:L43 K90:K125">
    <cfRule type="cellIs" dxfId="7" priority="28" operator="lessThan">
      <formula>D7</formula>
    </cfRule>
    <cfRule type="cellIs" dxfId="6" priority="29" operator="greaterThan">
      <formula>D7</formula>
    </cfRule>
  </conditionalFormatting>
  <conditionalFormatting sqref="K126:L126 L125">
    <cfRule type="cellIs" dxfId="5" priority="20" operator="lessThan">
      <formula>D125</formula>
    </cfRule>
    <cfRule type="cellIs" dxfId="4" priority="21" operator="greaterThan">
      <formula>D125</formula>
    </cfRule>
  </conditionalFormatting>
  <conditionalFormatting sqref="O7:O43">
    <cfRule type="dataBar" priority="93">
      <dataBar>
        <cfvo type="min"/>
        <cfvo type="max"/>
        <color rgb="FF638EC6"/>
      </dataBar>
      <extLst>
        <ext xmlns:x14="http://schemas.microsoft.com/office/spreadsheetml/2009/9/main" uri="{B025F937-C7B1-47D3-B67F-A62EFF666E3E}">
          <x14:id>{86A14078-2EFB-48A7-8E28-59CB16F3CD6D}</x14:id>
        </ext>
      </extLst>
    </cfRule>
  </conditionalFormatting>
  <conditionalFormatting sqref="O90:O125">
    <cfRule type="dataBar" priority="100">
      <dataBar>
        <cfvo type="min"/>
        <cfvo type="max"/>
        <color rgb="FF638EC6"/>
      </dataBar>
      <extLst>
        <ext xmlns:x14="http://schemas.microsoft.com/office/spreadsheetml/2009/9/main" uri="{B025F937-C7B1-47D3-B67F-A62EFF666E3E}">
          <x14:id>{26210A05-C5F0-43B8-B71E-A0A8346D5622}</x14:id>
        </ext>
      </extLst>
    </cfRule>
  </conditionalFormatting>
  <conditionalFormatting sqref="O127">
    <cfRule type="dataBar" priority="9">
      <dataBar>
        <cfvo type="num" val="0"/>
        <cfvo type="num" val="1"/>
        <color rgb="FFFF0000"/>
      </dataBar>
      <extLst>
        <ext xmlns:x14="http://schemas.microsoft.com/office/spreadsheetml/2009/9/main" uri="{B025F937-C7B1-47D3-B67F-A62EFF666E3E}">
          <x14:id>{E78E9CD8-36C2-496A-8F11-39A9276CD6F6}</x14:id>
        </ext>
      </extLst>
    </cfRule>
  </conditionalFormatting>
  <conditionalFormatting sqref="P127">
    <cfRule type="containsText" dxfId="3" priority="5" operator="containsText" text="Mala">
      <formula>NOT(ISERROR(SEARCH("Mala",P127)))</formula>
    </cfRule>
    <cfRule type="containsText" dxfId="2" priority="6" operator="containsText" text="Regular">
      <formula>NOT(ISERROR(SEARCH("Regular",P127)))</formula>
    </cfRule>
    <cfRule type="containsText" dxfId="1" priority="7" operator="containsText" text="Buena">
      <formula>NOT(ISERROR(SEARCH("Buena",P127)))</formula>
    </cfRule>
    <cfRule type="containsText" dxfId="0" priority="8" operator="containsText" text="Excelente">
      <formula>NOT(ISERROR(SEARCH("Excelente",P127)))</formula>
    </cfRule>
  </conditionalFormatting>
  <dataValidations count="1">
    <dataValidation type="list" allowBlank="1" showInputMessage="1" showErrorMessage="1" sqref="H2" xr:uid="{97A1B546-216E-42E1-8820-CF7477C1CE31}">
      <formula1>$J$2:$J$3</formula1>
    </dataValidation>
  </dataValidations>
  <pageMargins left="0.7" right="0.7" top="0.75" bottom="0.75" header="0.3" footer="0.3"/>
  <legacyDrawing r:id="rId1"/>
  <extLst>
    <ext xmlns:x14="http://schemas.microsoft.com/office/spreadsheetml/2009/9/main" uri="{78C0D931-6437-407d-A8EE-F0AAD7539E65}">
      <x14:conditionalFormattings>
        <x14:conditionalFormatting xmlns:xm="http://schemas.microsoft.com/office/excel/2006/main">
          <x14:cfRule type="dataBar" id="{86A14078-2EFB-48A7-8E28-59CB16F3CD6D}">
            <x14:dataBar minLength="0" maxLength="100" border="1" negativeBarBorderColorSameAsPositive="0">
              <x14:cfvo type="autoMin"/>
              <x14:cfvo type="autoMax"/>
              <x14:borderColor rgb="FF638EC6"/>
              <x14:negativeFillColor rgb="FFFF0000"/>
              <x14:negativeBorderColor rgb="FFFF0000"/>
              <x14:axisColor rgb="FF000000"/>
            </x14:dataBar>
          </x14:cfRule>
          <xm:sqref>O7:O43</xm:sqref>
        </x14:conditionalFormatting>
        <x14:conditionalFormatting xmlns:xm="http://schemas.microsoft.com/office/excel/2006/main">
          <x14:cfRule type="dataBar" id="{26210A05-C5F0-43B8-B71E-A0A8346D5622}">
            <x14:dataBar minLength="0" maxLength="100" border="1" negativeBarBorderColorSameAsPositive="0">
              <x14:cfvo type="autoMin"/>
              <x14:cfvo type="autoMax"/>
              <x14:borderColor rgb="FF638EC6"/>
              <x14:negativeFillColor rgb="FFFF0000"/>
              <x14:negativeBorderColor rgb="FFFF0000"/>
              <x14:axisColor rgb="FF000000"/>
            </x14:dataBar>
          </x14:cfRule>
          <xm:sqref>O90:O125</xm:sqref>
        </x14:conditionalFormatting>
        <x14:conditionalFormatting xmlns:xm="http://schemas.microsoft.com/office/excel/2006/main">
          <x14:cfRule type="dataBar" id="{E78E9CD8-36C2-496A-8F11-39A9276CD6F6}">
            <x14:dataBar minLength="0" maxLength="100" gradient="0" direction="rightToLeft">
              <x14:cfvo type="num">
                <xm:f>0</xm:f>
              </x14:cfvo>
              <x14:cfvo type="num">
                <xm:f>1</xm:f>
              </x14:cfvo>
              <x14:negativeFillColor rgb="FFFF0000"/>
              <x14:axisColor rgb="FF000000"/>
            </x14:dataBar>
          </x14:cfRule>
          <xm:sqref>O127</xm:sqref>
        </x14:conditionalFormatting>
      </x14:conditionalFormatting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E3548A-D681-49D4-B4E5-957A0383F339}">
  <sheetPr codeName="Hoja5">
    <tabColor theme="0" tint="-4.9989318521683403E-2"/>
  </sheetPr>
  <dimension ref="A1:E43"/>
  <sheetViews>
    <sheetView showGridLines="0" showRowColHeaders="0" zoomScale="90" zoomScaleNormal="90" workbookViewId="0">
      <selection activeCell="C17" sqref="C17"/>
    </sheetView>
  </sheetViews>
  <sheetFormatPr baseColWidth="10" defaultRowHeight="14.5" x14ac:dyDescent="0.35"/>
  <cols>
    <col min="1" max="1" width="17.26953125" customWidth="1"/>
  </cols>
  <sheetData>
    <row r="1" spans="1:5" ht="15" thickBot="1" x14ac:dyDescent="0.4">
      <c r="A1" s="19">
        <v>0</v>
      </c>
      <c r="B1" s="123">
        <v>45230</v>
      </c>
      <c r="C1" s="122" t="s">
        <v>163</v>
      </c>
      <c r="D1" s="123">
        <v>45412</v>
      </c>
      <c r="E1" s="122" t="s">
        <v>164</v>
      </c>
    </row>
    <row r="2" spans="1:5" ht="15.5" thickTop="1" thickBot="1" x14ac:dyDescent="0.4">
      <c r="A2" s="1" t="s">
        <v>1</v>
      </c>
      <c r="B2" s="30" t="s">
        <v>3</v>
      </c>
      <c r="C2" s="30" t="s">
        <v>152</v>
      </c>
      <c r="D2" s="30" t="s">
        <v>3</v>
      </c>
      <c r="E2" s="30" t="s">
        <v>152</v>
      </c>
    </row>
    <row r="3" spans="1:5" ht="15.5" thickTop="1" thickBot="1" x14ac:dyDescent="0.4">
      <c r="A3" s="3" t="s">
        <v>81</v>
      </c>
      <c r="B3" s="36">
        <v>10</v>
      </c>
      <c r="C3" s="5">
        <v>1995.7276916503909</v>
      </c>
      <c r="D3" s="36">
        <v>0</v>
      </c>
      <c r="E3" s="5">
        <v>0</v>
      </c>
    </row>
    <row r="4" spans="1:5" ht="15.5" thickTop="1" thickBot="1" x14ac:dyDescent="0.4">
      <c r="A4" s="3" t="s">
        <v>103</v>
      </c>
      <c r="B4" s="36">
        <v>0</v>
      </c>
      <c r="C4" s="5">
        <v>0</v>
      </c>
      <c r="D4" s="36">
        <v>0</v>
      </c>
      <c r="E4" s="5">
        <v>0</v>
      </c>
    </row>
    <row r="5" spans="1:5" ht="15.5" thickTop="1" thickBot="1" x14ac:dyDescent="0.4">
      <c r="A5" s="3" t="s">
        <v>104</v>
      </c>
      <c r="B5" s="36">
        <v>0</v>
      </c>
      <c r="C5" s="5">
        <v>0</v>
      </c>
      <c r="D5" s="36">
        <v>0</v>
      </c>
      <c r="E5" s="5">
        <v>0</v>
      </c>
    </row>
    <row r="6" spans="1:5" ht="15.5" thickTop="1" thickBot="1" x14ac:dyDescent="0.4">
      <c r="A6" s="3" t="s">
        <v>82</v>
      </c>
      <c r="B6" s="36">
        <v>125</v>
      </c>
      <c r="C6" s="5">
        <v>3645.4112529754639</v>
      </c>
      <c r="D6" s="36">
        <v>177</v>
      </c>
      <c r="E6" s="5">
        <v>3244.41</v>
      </c>
    </row>
    <row r="7" spans="1:5" ht="15.5" thickTop="1" thickBot="1" x14ac:dyDescent="0.4">
      <c r="A7" s="3" t="s">
        <v>64</v>
      </c>
      <c r="B7" s="36">
        <v>15</v>
      </c>
      <c r="C7" s="5">
        <v>1953.0269622802739</v>
      </c>
      <c r="D7" s="36">
        <v>0</v>
      </c>
      <c r="E7" s="5">
        <v>0</v>
      </c>
    </row>
    <row r="8" spans="1:5" ht="15.5" thickTop="1" thickBot="1" x14ac:dyDescent="0.4">
      <c r="A8" s="3" t="s">
        <v>65</v>
      </c>
      <c r="B8" s="36">
        <v>0</v>
      </c>
      <c r="C8" s="5">
        <v>0</v>
      </c>
      <c r="D8" s="36">
        <v>0</v>
      </c>
      <c r="E8" s="5">
        <v>0</v>
      </c>
    </row>
    <row r="9" spans="1:5" ht="15.5" thickTop="1" thickBot="1" x14ac:dyDescent="0.4">
      <c r="A9" s="3" t="s">
        <v>66</v>
      </c>
      <c r="B9" s="36">
        <v>0</v>
      </c>
      <c r="C9" s="5">
        <v>0</v>
      </c>
      <c r="D9" s="36">
        <v>0</v>
      </c>
      <c r="E9" s="5">
        <v>0</v>
      </c>
    </row>
    <row r="10" spans="1:5" ht="15.5" thickTop="1" thickBot="1" x14ac:dyDescent="0.4">
      <c r="A10" s="3" t="s">
        <v>67</v>
      </c>
      <c r="B10" s="36">
        <v>0</v>
      </c>
      <c r="C10" s="5">
        <v>0</v>
      </c>
      <c r="D10" s="36">
        <v>0</v>
      </c>
      <c r="E10" s="5">
        <v>0</v>
      </c>
    </row>
    <row r="11" spans="1:5" ht="15.5" thickTop="1" thickBot="1" x14ac:dyDescent="0.4">
      <c r="A11" s="3" t="s">
        <v>105</v>
      </c>
      <c r="B11" s="36">
        <v>0</v>
      </c>
      <c r="C11" s="5">
        <v>0</v>
      </c>
      <c r="D11" s="36">
        <v>48</v>
      </c>
      <c r="E11" s="5">
        <v>5039.5199039999998</v>
      </c>
    </row>
    <row r="12" spans="1:5" ht="15.5" thickTop="1" thickBot="1" x14ac:dyDescent="0.4">
      <c r="A12" s="3" t="s">
        <v>106</v>
      </c>
      <c r="B12" s="36">
        <v>0</v>
      </c>
      <c r="C12" s="5">
        <v>0</v>
      </c>
      <c r="D12" s="36">
        <v>0</v>
      </c>
      <c r="E12" s="5">
        <v>0</v>
      </c>
    </row>
    <row r="13" spans="1:5" ht="15.5" thickTop="1" thickBot="1" x14ac:dyDescent="0.4">
      <c r="A13" s="3" t="s">
        <v>68</v>
      </c>
      <c r="B13" s="36">
        <v>10</v>
      </c>
      <c r="C13" s="5">
        <v>1920.3315734863281</v>
      </c>
      <c r="D13" s="36">
        <v>0</v>
      </c>
      <c r="E13" s="5">
        <v>0</v>
      </c>
    </row>
    <row r="14" spans="1:5" ht="15.5" thickTop="1" thickBot="1" x14ac:dyDescent="0.4">
      <c r="A14" s="3" t="s">
        <v>83</v>
      </c>
      <c r="B14" s="36">
        <v>138</v>
      </c>
      <c r="C14" s="5">
        <v>1997.6141452789311</v>
      </c>
      <c r="D14" s="36">
        <v>0</v>
      </c>
      <c r="E14" s="5">
        <v>0</v>
      </c>
    </row>
    <row r="15" spans="1:5" ht="15.5" thickTop="1" thickBot="1" x14ac:dyDescent="0.4">
      <c r="A15" s="3" t="s">
        <v>69</v>
      </c>
      <c r="B15" s="36">
        <v>0</v>
      </c>
      <c r="C15" s="5">
        <v>0</v>
      </c>
      <c r="D15" s="36">
        <v>17</v>
      </c>
      <c r="E15" s="5">
        <v>2814.8600340000003</v>
      </c>
    </row>
    <row r="16" spans="1:5" ht="15.5" thickTop="1" thickBot="1" x14ac:dyDescent="0.4">
      <c r="A16" s="3" t="s">
        <v>70</v>
      </c>
      <c r="B16" s="36">
        <v>34</v>
      </c>
      <c r="C16" s="5">
        <v>2001.1701126098633</v>
      </c>
      <c r="D16" s="36">
        <v>42</v>
      </c>
      <c r="E16" s="5">
        <v>2029.0200420000001</v>
      </c>
    </row>
    <row r="17" spans="1:5" ht="15.5" thickTop="1" thickBot="1" x14ac:dyDescent="0.4">
      <c r="A17" s="3" t="s">
        <v>71</v>
      </c>
      <c r="B17" s="36">
        <v>6</v>
      </c>
      <c r="C17" s="5">
        <v>1857.0928344726563</v>
      </c>
      <c r="D17" s="36">
        <v>0</v>
      </c>
      <c r="E17" s="5">
        <v>0</v>
      </c>
    </row>
    <row r="18" spans="1:5" ht="15.5" thickTop="1" thickBot="1" x14ac:dyDescent="0.4">
      <c r="A18" s="3" t="s">
        <v>84</v>
      </c>
      <c r="B18" s="36">
        <v>5</v>
      </c>
      <c r="C18" s="5">
        <v>1832.8173828125</v>
      </c>
      <c r="D18" s="36">
        <v>5</v>
      </c>
      <c r="E18" s="5">
        <v>2668.3999649999996</v>
      </c>
    </row>
    <row r="19" spans="1:5" ht="15.5" thickTop="1" thickBot="1" x14ac:dyDescent="0.4">
      <c r="A19" s="3" t="s">
        <v>72</v>
      </c>
      <c r="B19" s="36">
        <v>28</v>
      </c>
      <c r="C19" s="5">
        <v>2022.5097351074219</v>
      </c>
      <c r="D19" s="36">
        <v>42</v>
      </c>
      <c r="E19" s="5">
        <v>2602.7400420000004</v>
      </c>
    </row>
    <row r="20" spans="1:5" ht="15.5" thickTop="1" thickBot="1" x14ac:dyDescent="0.4">
      <c r="A20" s="3" t="s">
        <v>73</v>
      </c>
      <c r="B20" s="36">
        <v>10</v>
      </c>
      <c r="C20" s="5">
        <v>1994.7999572753909</v>
      </c>
      <c r="D20" s="36">
        <v>0</v>
      </c>
      <c r="E20" s="5">
        <v>0</v>
      </c>
    </row>
    <row r="21" spans="1:5" ht="15.5" thickTop="1" thickBot="1" x14ac:dyDescent="0.4">
      <c r="A21" s="3" t="s">
        <v>107</v>
      </c>
      <c r="B21" s="36">
        <v>0</v>
      </c>
      <c r="C21" s="5">
        <v>0</v>
      </c>
      <c r="D21" s="36">
        <v>0</v>
      </c>
      <c r="E21" s="5">
        <v>0</v>
      </c>
    </row>
    <row r="22" spans="1:5" ht="15.5" thickTop="1" thickBot="1" x14ac:dyDescent="0.4">
      <c r="A22" s="3" t="s">
        <v>85</v>
      </c>
      <c r="B22" s="36">
        <v>116</v>
      </c>
      <c r="C22" s="5">
        <v>3650.7971496582036</v>
      </c>
      <c r="D22" s="36">
        <v>0</v>
      </c>
      <c r="E22" s="5">
        <v>0</v>
      </c>
    </row>
    <row r="23" spans="1:5" ht="15.5" thickTop="1" thickBot="1" x14ac:dyDescent="0.4">
      <c r="A23" s="3" t="s">
        <v>86</v>
      </c>
      <c r="B23" s="36">
        <v>76</v>
      </c>
      <c r="C23" s="5">
        <v>1997.9926681518552</v>
      </c>
      <c r="D23" s="36">
        <v>0</v>
      </c>
      <c r="E23" s="5">
        <v>0</v>
      </c>
    </row>
    <row r="24" spans="1:5" ht="15.5" thickTop="1" thickBot="1" x14ac:dyDescent="0.4">
      <c r="A24" s="3" t="s">
        <v>74</v>
      </c>
      <c r="B24" s="36">
        <v>0</v>
      </c>
      <c r="C24" s="5">
        <v>0</v>
      </c>
      <c r="D24" s="36">
        <v>0</v>
      </c>
      <c r="E24" s="5">
        <v>0</v>
      </c>
    </row>
    <row r="25" spans="1:5" ht="15.5" thickTop="1" thickBot="1" x14ac:dyDescent="0.4">
      <c r="A25" s="3" t="s">
        <v>87</v>
      </c>
      <c r="B25" s="36">
        <v>0</v>
      </c>
      <c r="C25" s="5">
        <v>0</v>
      </c>
      <c r="D25" s="36">
        <v>37</v>
      </c>
      <c r="E25" s="5">
        <v>3892.7699629999997</v>
      </c>
    </row>
    <row r="26" spans="1:5" ht="15.5" thickTop="1" thickBot="1" x14ac:dyDescent="0.4">
      <c r="A26" s="3" t="s">
        <v>108</v>
      </c>
      <c r="B26" s="36">
        <v>0</v>
      </c>
      <c r="C26" s="5">
        <v>0</v>
      </c>
      <c r="D26" s="36">
        <v>181</v>
      </c>
      <c r="E26" s="5">
        <v>0</v>
      </c>
    </row>
    <row r="27" spans="1:5" ht="15.5" thickTop="1" thickBot="1" x14ac:dyDescent="0.4">
      <c r="A27" s="3" t="s">
        <v>75</v>
      </c>
      <c r="B27" s="36">
        <v>0</v>
      </c>
      <c r="C27" s="5">
        <v>0</v>
      </c>
      <c r="D27" s="36">
        <v>185</v>
      </c>
      <c r="E27" s="5">
        <v>4736</v>
      </c>
    </row>
    <row r="28" spans="1:5" ht="15.5" thickTop="1" thickBot="1" x14ac:dyDescent="0.4">
      <c r="A28" s="3" t="s">
        <v>76</v>
      </c>
      <c r="B28" s="36">
        <v>0</v>
      </c>
      <c r="C28" s="5">
        <v>0</v>
      </c>
      <c r="D28" s="36">
        <v>0</v>
      </c>
      <c r="E28" s="5">
        <v>0</v>
      </c>
    </row>
    <row r="29" spans="1:5" ht="15.5" thickTop="1" thickBot="1" x14ac:dyDescent="0.4">
      <c r="A29" s="3" t="s">
        <v>109</v>
      </c>
      <c r="B29" s="36">
        <v>0</v>
      </c>
      <c r="C29" s="5">
        <v>0</v>
      </c>
      <c r="D29" s="36">
        <v>0</v>
      </c>
      <c r="E29" s="5">
        <v>0</v>
      </c>
    </row>
    <row r="30" spans="1:5" ht="15.5" thickTop="1" thickBot="1" x14ac:dyDescent="0.4">
      <c r="A30" s="3" t="s">
        <v>77</v>
      </c>
      <c r="B30" s="36">
        <v>0</v>
      </c>
      <c r="C30" s="5">
        <v>0</v>
      </c>
      <c r="D30" s="36">
        <v>23</v>
      </c>
      <c r="E30" s="5">
        <v>2914.560023</v>
      </c>
    </row>
    <row r="31" spans="1:5" ht="15.5" thickTop="1" thickBot="1" x14ac:dyDescent="0.4">
      <c r="A31" s="3" t="s">
        <v>110</v>
      </c>
      <c r="B31" s="36">
        <v>0</v>
      </c>
      <c r="C31" s="5">
        <v>0</v>
      </c>
      <c r="D31" s="36">
        <v>0</v>
      </c>
      <c r="E31" s="5">
        <v>0</v>
      </c>
    </row>
    <row r="32" spans="1:5" ht="15.5" thickTop="1" thickBot="1" x14ac:dyDescent="0.4">
      <c r="A32" s="3" t="s">
        <v>111</v>
      </c>
      <c r="B32" s="36">
        <v>0</v>
      </c>
      <c r="C32" s="5">
        <v>0</v>
      </c>
      <c r="D32" s="36">
        <v>0</v>
      </c>
      <c r="E32" s="5">
        <v>0</v>
      </c>
    </row>
    <row r="33" spans="1:5" ht="15.5" thickTop="1" thickBot="1" x14ac:dyDescent="0.4">
      <c r="A33" s="3" t="s">
        <v>78</v>
      </c>
      <c r="B33" s="36">
        <v>0</v>
      </c>
      <c r="C33" s="5">
        <v>0</v>
      </c>
      <c r="D33" s="36">
        <v>0</v>
      </c>
      <c r="E33" s="5">
        <v>0</v>
      </c>
    </row>
    <row r="34" spans="1:5" ht="15.5" thickTop="1" thickBot="1" x14ac:dyDescent="0.4">
      <c r="A34" s="3" t="s">
        <v>79</v>
      </c>
      <c r="B34" s="36">
        <v>0</v>
      </c>
      <c r="C34" s="5">
        <v>0</v>
      </c>
      <c r="D34" s="36">
        <v>0</v>
      </c>
      <c r="E34" s="5">
        <v>0</v>
      </c>
    </row>
    <row r="35" spans="1:5" ht="15.5" thickTop="1" thickBot="1" x14ac:dyDescent="0.4">
      <c r="A35" s="3" t="s">
        <v>88</v>
      </c>
      <c r="B35" s="36">
        <v>60</v>
      </c>
      <c r="C35" s="5">
        <v>2005.0282287597652</v>
      </c>
      <c r="D35" s="36">
        <v>62</v>
      </c>
      <c r="E35" s="5">
        <v>2738.5398759999998</v>
      </c>
    </row>
    <row r="36" spans="1:5" ht="15.5" thickTop="1" thickBot="1" x14ac:dyDescent="0.4">
      <c r="A36" s="3" t="s">
        <v>80</v>
      </c>
      <c r="B36" s="36">
        <v>25</v>
      </c>
      <c r="C36" s="5">
        <v>3582.3348999023451</v>
      </c>
      <c r="D36" s="36">
        <v>0</v>
      </c>
      <c r="E36" s="5">
        <v>0</v>
      </c>
    </row>
    <row r="37" spans="1:5" ht="15.5" thickTop="1" thickBot="1" x14ac:dyDescent="0.4">
      <c r="A37" s="3" t="s">
        <v>112</v>
      </c>
      <c r="B37" s="36">
        <v>0</v>
      </c>
      <c r="C37" s="5">
        <v>0</v>
      </c>
      <c r="D37" s="36">
        <v>0</v>
      </c>
      <c r="E37" s="5">
        <v>0</v>
      </c>
    </row>
    <row r="38" spans="1:5" ht="15.5" thickTop="1" thickBot="1" x14ac:dyDescent="0.4">
      <c r="A38" s="3" t="s">
        <v>122</v>
      </c>
      <c r="B38" s="36">
        <v>0</v>
      </c>
      <c r="C38" s="5">
        <v>0</v>
      </c>
      <c r="D38" s="36">
        <v>0</v>
      </c>
      <c r="E38" s="5">
        <v>0</v>
      </c>
    </row>
    <row r="39" spans="1:5" ht="15.5" thickTop="1" thickBot="1" x14ac:dyDescent="0.4">
      <c r="A39" s="3" t="s">
        <v>123</v>
      </c>
      <c r="B39" s="36">
        <v>0</v>
      </c>
      <c r="C39" s="5">
        <v>0</v>
      </c>
      <c r="D39" s="36">
        <v>0</v>
      </c>
      <c r="E39" s="5">
        <v>0</v>
      </c>
    </row>
    <row r="40" spans="1:5" ht="15.5" thickTop="1" thickBot="1" x14ac:dyDescent="0.4">
      <c r="A40" s="3" t="s">
        <v>124</v>
      </c>
      <c r="B40" s="36">
        <v>0</v>
      </c>
      <c r="C40" s="5">
        <v>0</v>
      </c>
      <c r="D40" s="36">
        <v>0</v>
      </c>
      <c r="E40" s="5">
        <v>0</v>
      </c>
    </row>
    <row r="41" spans="1:5" ht="15.5" thickTop="1" thickBot="1" x14ac:dyDescent="0.4">
      <c r="A41" s="3" t="s">
        <v>125</v>
      </c>
      <c r="B41" s="36">
        <v>0</v>
      </c>
      <c r="C41" s="5">
        <v>0</v>
      </c>
      <c r="D41" s="36">
        <v>0</v>
      </c>
      <c r="E41" s="5">
        <v>0</v>
      </c>
    </row>
    <row r="42" spans="1:5" ht="15.5" thickTop="1" thickBot="1" x14ac:dyDescent="0.4">
      <c r="A42" s="3" t="s">
        <v>7</v>
      </c>
      <c r="B42" s="36">
        <v>1</v>
      </c>
      <c r="C42" s="5">
        <v>507.4074991709349</v>
      </c>
      <c r="D42" s="36">
        <v>1</v>
      </c>
      <c r="E42" s="5">
        <v>129.14359769693692</v>
      </c>
    </row>
    <row r="43" spans="1:5" ht="15" thickTop="1" x14ac:dyDescent="0.35">
      <c r="A43" s="98" t="s">
        <v>10</v>
      </c>
      <c r="C43" s="99">
        <f>SUM(C3:C42)</f>
        <v>32964.062093592322</v>
      </c>
      <c r="E43" s="99">
        <f>SUM(E3:E42)</f>
        <v>32809.963446696944</v>
      </c>
    </row>
  </sheetData>
  <sheetProtection algorithmName="SHA-512" hashValue="oxmL5TmPWDV/yD8dYiJt7+zpJSpJ1HDpEfIIMbORvTD0IV2K/S1Nqo0B3CY/TCRqqylCeYCAgQxZNha0i0fRAw==" saltValue="aEq7wR39tsPLi5VNInG5Gg==" spinCount="100000" sheet="1" objects="1" scenarios="1"/>
  <phoneticPr fontId="36"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E1ABD2-E0F0-472E-A76E-99DF0C34F7F9}">
  <sheetPr codeName="Hoja6"/>
  <dimension ref="A1:C37"/>
  <sheetViews>
    <sheetView showRowColHeaders="0" workbookViewId="0">
      <selection activeCell="I14" sqref="I14"/>
    </sheetView>
  </sheetViews>
  <sheetFormatPr baseColWidth="10" defaultRowHeight="14.5" x14ac:dyDescent="0.35"/>
  <cols>
    <col min="2" max="2" width="40" customWidth="1"/>
    <col min="3" max="3" width="19.36328125" customWidth="1"/>
  </cols>
  <sheetData>
    <row r="1" spans="1:3" ht="15.5" thickTop="1" thickBot="1" x14ac:dyDescent="0.4">
      <c r="A1" s="3" t="s">
        <v>106</v>
      </c>
      <c r="B1" s="35" t="s">
        <v>126</v>
      </c>
      <c r="C1" s="35" t="s">
        <v>52</v>
      </c>
    </row>
    <row r="2" spans="1:3" ht="15.5" thickTop="1" thickBot="1" x14ac:dyDescent="0.4">
      <c r="A2" s="3" t="s">
        <v>103</v>
      </c>
      <c r="B2" s="35" t="s">
        <v>127</v>
      </c>
      <c r="C2" s="35" t="s">
        <v>53</v>
      </c>
    </row>
    <row r="3" spans="1:3" ht="15.5" thickTop="1" thickBot="1" x14ac:dyDescent="0.4">
      <c r="A3" s="3" t="s">
        <v>70</v>
      </c>
      <c r="B3" s="35" t="s">
        <v>89</v>
      </c>
      <c r="C3" s="35" t="s">
        <v>101</v>
      </c>
    </row>
    <row r="4" spans="1:3" ht="15.5" thickTop="1" thickBot="1" x14ac:dyDescent="0.4">
      <c r="A4" s="3" t="s">
        <v>83</v>
      </c>
      <c r="B4" s="35" t="s">
        <v>128</v>
      </c>
      <c r="C4" s="35" t="s">
        <v>54</v>
      </c>
    </row>
    <row r="5" spans="1:3" ht="15.5" thickTop="1" thickBot="1" x14ac:dyDescent="0.4">
      <c r="A5" s="3" t="s">
        <v>84</v>
      </c>
      <c r="B5" s="35" t="s">
        <v>129</v>
      </c>
      <c r="C5" s="35" t="s">
        <v>53</v>
      </c>
    </row>
    <row r="6" spans="1:3" ht="15.5" thickTop="1" thickBot="1" x14ac:dyDescent="0.4">
      <c r="A6" s="3" t="s">
        <v>107</v>
      </c>
      <c r="B6" s="35" t="s">
        <v>118</v>
      </c>
      <c r="C6" s="35" t="s">
        <v>102</v>
      </c>
    </row>
    <row r="7" spans="1:3" ht="15.5" thickTop="1" thickBot="1" x14ac:dyDescent="0.4">
      <c r="A7" s="3" t="s">
        <v>72</v>
      </c>
      <c r="B7" s="35" t="s">
        <v>130</v>
      </c>
      <c r="C7" s="35" t="s">
        <v>52</v>
      </c>
    </row>
    <row r="8" spans="1:3" ht="15.5" thickTop="1" thickBot="1" x14ac:dyDescent="0.4">
      <c r="A8" s="3" t="s">
        <v>86</v>
      </c>
      <c r="B8" s="35" t="s">
        <v>131</v>
      </c>
      <c r="C8" s="35" t="s">
        <v>102</v>
      </c>
    </row>
    <row r="9" spans="1:3" ht="15.5" thickTop="1" thickBot="1" x14ac:dyDescent="0.4">
      <c r="A9" s="3" t="s">
        <v>66</v>
      </c>
      <c r="B9" s="35" t="s">
        <v>90</v>
      </c>
      <c r="C9" s="35" t="s">
        <v>55</v>
      </c>
    </row>
    <row r="10" spans="1:3" ht="15.5" thickTop="1" thickBot="1" x14ac:dyDescent="0.4">
      <c r="A10" s="3" t="s">
        <v>77</v>
      </c>
      <c r="B10" s="35" t="s">
        <v>117</v>
      </c>
      <c r="C10" s="35" t="s">
        <v>52</v>
      </c>
    </row>
    <row r="11" spans="1:3" ht="15.5" thickTop="1" thickBot="1" x14ac:dyDescent="0.4">
      <c r="A11" s="3" t="s">
        <v>85</v>
      </c>
      <c r="B11" s="35" t="s">
        <v>100</v>
      </c>
      <c r="C11" s="35" t="s">
        <v>101</v>
      </c>
    </row>
    <row r="12" spans="1:3" ht="15.5" thickTop="1" thickBot="1" x14ac:dyDescent="0.4">
      <c r="A12" s="3" t="s">
        <v>68</v>
      </c>
      <c r="B12" s="35" t="s">
        <v>132</v>
      </c>
      <c r="C12" s="35" t="s">
        <v>101</v>
      </c>
    </row>
    <row r="13" spans="1:3" ht="15.5" thickTop="1" thickBot="1" x14ac:dyDescent="0.4">
      <c r="A13" s="3" t="s">
        <v>81</v>
      </c>
      <c r="B13" s="35" t="s">
        <v>94</v>
      </c>
      <c r="C13" s="35" t="s">
        <v>53</v>
      </c>
    </row>
    <row r="14" spans="1:3" ht="15.5" thickTop="1" thickBot="1" x14ac:dyDescent="0.4">
      <c r="A14" s="3" t="s">
        <v>76</v>
      </c>
      <c r="B14" s="35" t="s">
        <v>133</v>
      </c>
      <c r="C14" s="35" t="s">
        <v>101</v>
      </c>
    </row>
    <row r="15" spans="1:3" ht="15.5" thickTop="1" thickBot="1" x14ac:dyDescent="0.4">
      <c r="A15" s="3" t="s">
        <v>109</v>
      </c>
      <c r="B15" s="35" t="s">
        <v>134</v>
      </c>
      <c r="C15" s="35" t="s">
        <v>55</v>
      </c>
    </row>
    <row r="16" spans="1:3" ht="15.5" thickTop="1" thickBot="1" x14ac:dyDescent="0.4">
      <c r="A16" s="3" t="s">
        <v>75</v>
      </c>
      <c r="B16" s="35" t="s">
        <v>93</v>
      </c>
      <c r="C16" s="35" t="s">
        <v>102</v>
      </c>
    </row>
    <row r="17" spans="1:3" ht="15.5" thickTop="1" thickBot="1" x14ac:dyDescent="0.4">
      <c r="A17" s="3" t="s">
        <v>78</v>
      </c>
      <c r="B17" s="35" t="s">
        <v>135</v>
      </c>
      <c r="C17" s="35" t="s">
        <v>102</v>
      </c>
    </row>
    <row r="18" spans="1:3" ht="15.5" thickTop="1" thickBot="1" x14ac:dyDescent="0.4">
      <c r="A18" s="3" t="s">
        <v>111</v>
      </c>
      <c r="B18" s="35" t="s">
        <v>136</v>
      </c>
      <c r="C18" s="35" t="s">
        <v>102</v>
      </c>
    </row>
    <row r="19" spans="1:3" ht="15.5" thickTop="1" thickBot="1" x14ac:dyDescent="0.4">
      <c r="A19" s="3" t="s">
        <v>105</v>
      </c>
      <c r="B19" s="35" t="s">
        <v>115</v>
      </c>
      <c r="C19" s="35" t="s">
        <v>55</v>
      </c>
    </row>
    <row r="20" spans="1:3" ht="15.5" thickTop="1" thickBot="1" x14ac:dyDescent="0.4">
      <c r="A20" s="3" t="s">
        <v>71</v>
      </c>
      <c r="B20" s="35" t="s">
        <v>137</v>
      </c>
      <c r="C20" s="35" t="s">
        <v>52</v>
      </c>
    </row>
    <row r="21" spans="1:3" ht="15.5" thickTop="1" thickBot="1" x14ac:dyDescent="0.4">
      <c r="A21" s="3" t="s">
        <v>79</v>
      </c>
      <c r="B21" s="35" t="s">
        <v>97</v>
      </c>
      <c r="C21" s="35" t="s">
        <v>101</v>
      </c>
    </row>
    <row r="22" spans="1:3" ht="15.5" thickTop="1" thickBot="1" x14ac:dyDescent="0.4">
      <c r="A22" s="3" t="s">
        <v>69</v>
      </c>
      <c r="B22" s="35" t="s">
        <v>91</v>
      </c>
      <c r="C22" s="35" t="s">
        <v>52</v>
      </c>
    </row>
    <row r="23" spans="1:3" ht="15.5" thickTop="1" thickBot="1" x14ac:dyDescent="0.4">
      <c r="A23" s="3" t="s">
        <v>108</v>
      </c>
      <c r="B23" s="35" t="s">
        <v>116</v>
      </c>
      <c r="C23" s="35" t="s">
        <v>138</v>
      </c>
    </row>
    <row r="24" spans="1:3" ht="15.5" thickTop="1" thickBot="1" x14ac:dyDescent="0.4">
      <c r="A24" s="3" t="s">
        <v>87</v>
      </c>
      <c r="B24" s="35" t="s">
        <v>92</v>
      </c>
      <c r="C24" s="35" t="s">
        <v>101</v>
      </c>
    </row>
    <row r="25" spans="1:3" ht="15.5" thickTop="1" thickBot="1" x14ac:dyDescent="0.4">
      <c r="A25" s="3" t="s">
        <v>88</v>
      </c>
      <c r="B25" s="35" t="s">
        <v>99</v>
      </c>
      <c r="C25" s="35" t="s">
        <v>54</v>
      </c>
    </row>
    <row r="26" spans="1:3" ht="15.5" thickTop="1" thickBot="1" x14ac:dyDescent="0.4">
      <c r="A26" s="3" t="s">
        <v>64</v>
      </c>
      <c r="B26" s="35" t="s">
        <v>139</v>
      </c>
      <c r="C26" s="35" t="s">
        <v>53</v>
      </c>
    </row>
    <row r="27" spans="1:3" ht="15.5" thickTop="1" thickBot="1" x14ac:dyDescent="0.4">
      <c r="A27" s="3" t="s">
        <v>82</v>
      </c>
      <c r="B27" s="35" t="s">
        <v>98</v>
      </c>
      <c r="C27" s="35" t="s">
        <v>55</v>
      </c>
    </row>
    <row r="28" spans="1:3" ht="15.5" thickTop="1" thickBot="1" x14ac:dyDescent="0.4">
      <c r="A28" s="3" t="s">
        <v>73</v>
      </c>
      <c r="B28" s="35" t="s">
        <v>96</v>
      </c>
      <c r="C28" s="35" t="s">
        <v>55</v>
      </c>
    </row>
    <row r="29" spans="1:3" ht="15.5" thickTop="1" thickBot="1" x14ac:dyDescent="0.4">
      <c r="A29" s="3" t="s">
        <v>67</v>
      </c>
      <c r="B29" s="35" t="s">
        <v>140</v>
      </c>
      <c r="C29" s="35" t="s">
        <v>53</v>
      </c>
    </row>
    <row r="30" spans="1:3" ht="15.5" thickTop="1" thickBot="1" x14ac:dyDescent="0.4">
      <c r="A30" s="3" t="s">
        <v>80</v>
      </c>
      <c r="B30" s="35" t="s">
        <v>95</v>
      </c>
      <c r="C30" s="35" t="s">
        <v>102</v>
      </c>
    </row>
    <row r="31" spans="1:3" ht="15.5" thickTop="1" thickBot="1" x14ac:dyDescent="0.4">
      <c r="A31" s="3" t="s">
        <v>112</v>
      </c>
      <c r="B31" s="35" t="s">
        <v>141</v>
      </c>
      <c r="C31" s="35" t="s">
        <v>102</v>
      </c>
    </row>
    <row r="32" spans="1:3" ht="15.5" thickTop="1" thickBot="1" x14ac:dyDescent="0.4">
      <c r="A32" s="3" t="s">
        <v>65</v>
      </c>
      <c r="B32" s="35" t="s">
        <v>142</v>
      </c>
      <c r="C32" s="35" t="s">
        <v>54</v>
      </c>
    </row>
    <row r="33" spans="1:3" ht="15.5" thickTop="1" thickBot="1" x14ac:dyDescent="0.4">
      <c r="A33" s="3" t="s">
        <v>74</v>
      </c>
      <c r="B33" s="35" t="s">
        <v>143</v>
      </c>
      <c r="C33" s="35" t="s">
        <v>144</v>
      </c>
    </row>
    <row r="34" spans="1:3" ht="15.5" thickTop="1" thickBot="1" x14ac:dyDescent="0.4">
      <c r="A34" s="3" t="s">
        <v>104</v>
      </c>
      <c r="B34" s="35" t="s">
        <v>114</v>
      </c>
      <c r="C34" s="35" t="s">
        <v>52</v>
      </c>
    </row>
    <row r="35" spans="1:3" ht="15.5" thickTop="1" thickBot="1" x14ac:dyDescent="0.4">
      <c r="A35" s="3" t="s">
        <v>122</v>
      </c>
      <c r="B35" s="35" t="s">
        <v>145</v>
      </c>
      <c r="C35" s="35" t="s">
        <v>52</v>
      </c>
    </row>
    <row r="36" spans="1:3" ht="15.5" thickTop="1" thickBot="1" x14ac:dyDescent="0.4">
      <c r="B36" s="35"/>
    </row>
    <row r="37" spans="1:3" ht="15" thickTop="1" x14ac:dyDescent="0.35"/>
  </sheetData>
  <sheetProtection algorithmName="SHA-512" hashValue="xkuxGK2p/uLAkCR2/bYoTVHhrUmyLZ7xgWpkl5MF410hmrfu8byl5UcOtnRri18r4Xhik7Kqoi3RdebVueh+aw==" saltValue="pKwAfk8OTMbT0qJelChp7A==" spinCount="100000" sheet="1" objects="1" scenarios="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6</vt:i4>
      </vt:variant>
    </vt:vector>
  </HeadingPairs>
  <TitlesOfParts>
    <vt:vector size="6" baseType="lpstr">
      <vt:lpstr>Instrucciones</vt:lpstr>
      <vt:lpstr>Estrategia</vt:lpstr>
      <vt:lpstr>Portafolio Actual</vt:lpstr>
      <vt:lpstr>Último rebalanceo</vt:lpstr>
      <vt:lpstr>12M anteriores</vt:lpstr>
      <vt:lpstr>GICS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Ulises Legaspi Soubervielle</dc:creator>
  <cp:lastModifiedBy>Ulises Legaspi Soubervielle</cp:lastModifiedBy>
  <dcterms:created xsi:type="dcterms:W3CDTF">2024-07-23T23:57:10Z</dcterms:created>
  <dcterms:modified xsi:type="dcterms:W3CDTF">2025-07-14T16:14:46Z</dcterms:modified>
</cp:coreProperties>
</file>