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6" documentId="8_{4939F5AE-14CE-4BC9-BFA8-F52B24A61B96}" xr6:coauthVersionLast="47" xr6:coauthVersionMax="47" xr10:uidLastSave="{3F5DE80A-8129-4793-907F-AA7DA7FA8B26}"/>
  <bookViews>
    <workbookView xWindow="-110" yWindow="-110" windowWidth="19420" windowHeight="11500" firstSheet="1" activeTab="3" xr2:uid="{C004D953-8412-493E-A910-A95265F3CA5A}"/>
  </bookViews>
  <sheets>
    <sheet name="Instrucciones" sheetId="2" r:id="rId1"/>
    <sheet name="Estrategia" sheetId="4" r:id="rId2"/>
    <sheet name="Portafolio Actual" sheetId="1" r:id="rId3"/>
    <sheet name="Último rebalanceo" sheetId="3" r:id="rId4"/>
    <sheet name="12M anteriores"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6" i="1" l="1"/>
  <c r="H13" i="3"/>
  <c r="H11" i="3"/>
  <c r="G11" i="3"/>
  <c r="F13" i="3"/>
  <c r="I10" i="1" l="1"/>
  <c r="J7" i="3"/>
  <c r="I30" i="3"/>
  <c r="K7" i="3"/>
  <c r="B15" i="3"/>
  <c r="B37" i="3" s="1"/>
  <c r="B7" i="1" l="1"/>
  <c r="B8" i="1"/>
  <c r="B9" i="1"/>
  <c r="C9" i="1"/>
  <c r="C7" i="1"/>
  <c r="C8" i="1"/>
  <c r="C6" i="1"/>
  <c r="B6" i="1"/>
  <c r="D2" i="1"/>
  <c r="C23" i="1" l="1"/>
  <c r="C39" i="1"/>
  <c r="B26" i="1"/>
  <c r="B42" i="1"/>
  <c r="C25" i="1"/>
  <c r="C41" i="1"/>
  <c r="B25" i="1"/>
  <c r="B41" i="1"/>
  <c r="C24" i="1"/>
  <c r="C40" i="1"/>
  <c r="B24" i="1"/>
  <c r="B40" i="1"/>
  <c r="B23" i="1"/>
  <c r="B39" i="1"/>
  <c r="C26" i="1"/>
  <c r="C42" i="1"/>
  <c r="B30" i="3"/>
  <c r="C30" i="3"/>
  <c r="B31" i="3"/>
  <c r="C31" i="3"/>
  <c r="B32" i="3"/>
  <c r="C32" i="3"/>
  <c r="C29" i="3"/>
  <c r="B29" i="3"/>
  <c r="B39" i="3"/>
  <c r="C39" i="3"/>
  <c r="B40" i="3"/>
  <c r="C40" i="3"/>
  <c r="B41" i="3"/>
  <c r="C41" i="3"/>
  <c r="C38" i="3"/>
  <c r="B38" i="3"/>
  <c r="K8" i="3"/>
  <c r="I29" i="3"/>
  <c r="G16" i="3"/>
  <c r="H2" i="1" l="1"/>
  <c r="I31" i="3"/>
  <c r="G17" i="3"/>
  <c r="G18" i="3"/>
  <c r="G19" i="3"/>
  <c r="J9" i="3"/>
  <c r="J10" i="3"/>
  <c r="J8" i="3"/>
  <c r="J11" i="3" l="1"/>
  <c r="I32" i="3"/>
  <c r="I35" i="3" l="1"/>
  <c r="E8" i="5"/>
  <c r="C8" i="5"/>
  <c r="G7" i="1" l="1"/>
  <c r="G8" i="1"/>
  <c r="G9" i="1"/>
  <c r="G6" i="1"/>
  <c r="F30" i="3"/>
  <c r="H30" i="3"/>
  <c r="F31" i="3"/>
  <c r="H31" i="3"/>
  <c r="F32" i="3"/>
  <c r="H32" i="3"/>
  <c r="G41" i="3" s="1"/>
  <c r="J30" i="3" l="1"/>
  <c r="E41" i="1"/>
  <c r="G41" i="1"/>
  <c r="G40" i="1"/>
  <c r="E40" i="1"/>
  <c r="G39" i="1"/>
  <c r="E39" i="1"/>
  <c r="G42" i="1"/>
  <c r="E42" i="1"/>
  <c r="G26" i="1"/>
  <c r="G25" i="1"/>
  <c r="G24" i="1"/>
  <c r="G40" i="3"/>
  <c r="G39" i="3"/>
  <c r="M8" i="3"/>
  <c r="K9" i="3"/>
  <c r="M9" i="3" s="1"/>
  <c r="K10" i="3"/>
  <c r="M10" i="3" s="1"/>
  <c r="D8" i="1" l="1"/>
  <c r="D7" i="1"/>
  <c r="D9" i="1"/>
  <c r="L9" i="3"/>
  <c r="L10" i="3"/>
  <c r="L8" i="3"/>
  <c r="L7" i="3"/>
  <c r="G7" i="3" l="1"/>
  <c r="E8" i="1"/>
  <c r="F8" i="1" s="1"/>
  <c r="E7" i="1"/>
  <c r="F7" i="1" s="1"/>
  <c r="E9" i="1"/>
  <c r="F9" i="1" s="1"/>
  <c r="J31" i="3"/>
  <c r="H8" i="1"/>
  <c r="E6" i="1"/>
  <c r="D6" i="1"/>
  <c r="M7" i="3"/>
  <c r="H7" i="1"/>
  <c r="H9" i="1"/>
  <c r="J32" i="3"/>
  <c r="G9" i="3"/>
  <c r="G10" i="3"/>
  <c r="G8" i="3"/>
  <c r="H33" i="3"/>
  <c r="J33" i="3" s="1"/>
  <c r="J9" i="1" l="1"/>
  <c r="J7" i="1"/>
  <c r="J8" i="1"/>
  <c r="I29" i="1"/>
  <c r="F29" i="3" l="1"/>
  <c r="F35" i="3" l="1"/>
  <c r="G29" i="3" s="1"/>
  <c r="H29" i="3"/>
  <c r="G33" i="3" l="1"/>
  <c r="G38" i="3"/>
  <c r="J29" i="3"/>
  <c r="G31" i="3"/>
  <c r="G32" i="3"/>
  <c r="G30" i="3"/>
  <c r="H35" i="3"/>
  <c r="G23" i="1"/>
  <c r="G13" i="3"/>
  <c r="F6" i="1" l="1"/>
  <c r="H6" i="1" l="1"/>
  <c r="J36" i="3" l="1"/>
  <c r="J35" i="3"/>
  <c r="I13" i="3"/>
  <c r="J14" i="3" s="1"/>
  <c r="J13" i="3" l="1"/>
  <c r="K11" i="3"/>
  <c r="D10" i="1" s="1"/>
  <c r="H10" i="1" s="1"/>
  <c r="H12" i="1" s="1"/>
  <c r="J12" i="1" s="1"/>
  <c r="J13" i="1" l="1"/>
  <c r="K8" i="1"/>
  <c r="M11" i="3"/>
  <c r="M13" i="3" s="1"/>
  <c r="N7" i="3" s="1"/>
  <c r="F38" i="3" s="1"/>
  <c r="K29" i="3" s="1"/>
  <c r="K7" i="1" l="1"/>
  <c r="L25" i="1"/>
  <c r="J41" i="1"/>
  <c r="D41" i="1" s="1"/>
  <c r="K9" i="1"/>
  <c r="G35" i="3"/>
  <c r="N11" i="3"/>
  <c r="K10" i="1"/>
  <c r="K6" i="1"/>
  <c r="D39" i="1" s="1" a="1"/>
  <c r="D39" i="1" s="1"/>
  <c r="T7" i="1" l="1"/>
  <c r="J40" i="1"/>
  <c r="D40" i="1" s="1"/>
  <c r="H40" i="1" s="1"/>
  <c r="L24" i="1"/>
  <c r="J43" i="1"/>
  <c r="L26" i="1"/>
  <c r="J42" i="1"/>
  <c r="D42" i="1" s="1"/>
  <c r="F42" i="1" s="1"/>
  <c r="L27" i="1"/>
  <c r="T9" i="1"/>
  <c r="T8" i="1"/>
  <c r="T6" i="1"/>
  <c r="N10" i="3"/>
  <c r="F41" i="3" s="1"/>
  <c r="N8" i="3"/>
  <c r="F39" i="3" s="1"/>
  <c r="N9" i="3"/>
  <c r="F40" i="3" s="1"/>
  <c r="L23" i="1"/>
  <c r="O11" i="3"/>
  <c r="J39" i="1"/>
  <c r="K12" i="1"/>
  <c r="D43" i="1" l="1"/>
  <c r="H42" i="1"/>
  <c r="F40" i="1"/>
  <c r="F41" i="1"/>
  <c r="H41" i="1"/>
  <c r="O7" i="3"/>
  <c r="K32" i="3"/>
  <c r="O8" i="3"/>
  <c r="O9" i="3"/>
  <c r="O10" i="3"/>
  <c r="L29" i="1"/>
  <c r="N13" i="3"/>
  <c r="J45" i="1"/>
  <c r="D23" i="1" l="1"/>
  <c r="H23" i="1" s="1"/>
  <c r="K33" i="3"/>
  <c r="O13" i="3"/>
  <c r="M32" i="3"/>
  <c r="L32" i="3"/>
  <c r="D26" i="1"/>
  <c r="K31" i="3"/>
  <c r="D25" i="1" s="1"/>
  <c r="K30" i="3"/>
  <c r="D24" i="1" s="1"/>
  <c r="E26" i="1" l="1"/>
  <c r="F26" i="1" s="1"/>
  <c r="L29" i="3"/>
  <c r="E23" i="1" s="1"/>
  <c r="F23" i="1" s="1"/>
  <c r="J23" i="1" s="1"/>
  <c r="M29" i="3"/>
  <c r="L30" i="3"/>
  <c r="E24" i="1" s="1"/>
  <c r="F24" i="1" s="1"/>
  <c r="M30" i="3"/>
  <c r="H26" i="1"/>
  <c r="H24" i="1"/>
  <c r="H25" i="1"/>
  <c r="L31" i="3"/>
  <c r="E25" i="1" s="1"/>
  <c r="F25" i="1" s="1"/>
  <c r="M31" i="3"/>
  <c r="M33" i="3"/>
  <c r="D27" i="1"/>
  <c r="H27" i="1" s="1"/>
  <c r="J25" i="1" l="1"/>
  <c r="J24" i="1"/>
  <c r="J26" i="1"/>
  <c r="M35" i="3"/>
  <c r="N30" i="3" s="1"/>
  <c r="H29" i="1"/>
  <c r="N29" i="3" l="1"/>
  <c r="O29" i="3" s="1"/>
  <c r="K25" i="1"/>
  <c r="M25" i="1" s="1"/>
  <c r="K24" i="1"/>
  <c r="M24" i="1" s="1"/>
  <c r="K26" i="1"/>
  <c r="M26" i="1" s="1"/>
  <c r="K27" i="1"/>
  <c r="J29" i="1"/>
  <c r="K23" i="1"/>
  <c r="O30" i="3"/>
  <c r="N32" i="3"/>
  <c r="O32" i="3" s="1"/>
  <c r="N33" i="3"/>
  <c r="O33" i="3" s="1"/>
  <c r="N31" i="3"/>
  <c r="O31" i="3" s="1"/>
  <c r="M27" i="1" l="1"/>
  <c r="U6" i="1"/>
  <c r="M23" i="1"/>
  <c r="O35" i="3" a="1"/>
  <c r="O35" i="3" s="1"/>
  <c r="P35" i="3" s="1"/>
  <c r="N35" i="3"/>
  <c r="U7" i="1"/>
  <c r="U9" i="1"/>
  <c r="U8" i="1"/>
  <c r="K29" i="1"/>
  <c r="M29" i="1" l="1" a="1"/>
  <c r="M29" i="1" s="1"/>
  <c r="N29" i="1" s="1"/>
  <c r="H39" i="1" l="1"/>
  <c r="H43" i="1"/>
  <c r="F39" i="1"/>
  <c r="H45" i="1" l="1"/>
  <c r="I40" i="1" l="1"/>
  <c r="I41" i="1"/>
  <c r="K41" i="1" s="1"/>
  <c r="I42" i="1"/>
  <c r="I43" i="1"/>
  <c r="I39" i="1"/>
  <c r="V7" i="1" l="1"/>
  <c r="K40" i="1"/>
  <c r="K43" i="1"/>
  <c r="V6" i="1"/>
  <c r="K39" i="1"/>
  <c r="I45" i="1"/>
  <c r="K42" i="1"/>
  <c r="V8" i="1"/>
  <c r="V9" i="1"/>
  <c r="K45" i="1" l="1" a="1"/>
  <c r="K45" i="1" s="1"/>
  <c r="L45"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10" authorId="0" shapeId="0" xr:uid="{6A7D4E88-447C-4691-BDF2-28C90F76AACB}">
      <text>
        <r>
          <rPr>
            <b/>
            <sz val="9"/>
            <color indexed="81"/>
            <rFont val="Tahoma"/>
            <family val="2"/>
          </rPr>
          <t>Rendimiento histórico de los dividendos</t>
        </r>
      </text>
    </comment>
    <comment ref="M29"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45"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35"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sharedStrings.xml><?xml version="1.0" encoding="utf-8"?>
<sst xmlns="http://schemas.openxmlformats.org/spreadsheetml/2006/main" count="184" uniqueCount="103">
  <si>
    <t>IPC Regresión a la media</t>
  </si>
  <si>
    <t>Ticker</t>
  </si>
  <si>
    <t>Compañía</t>
  </si>
  <si>
    <t>Títulos</t>
  </si>
  <si>
    <t>Costo total</t>
  </si>
  <si>
    <t>% Mi Portafolio</t>
  </si>
  <si>
    <t>% Portafolio Modelo</t>
  </si>
  <si>
    <t>EFECTIVO</t>
  </si>
  <si>
    <t>Costo Promedio Ponderado</t>
  </si>
  <si>
    <t>Valor mercado</t>
  </si>
  <si>
    <t>TOTAL</t>
  </si>
  <si>
    <t>Rendimiento Total</t>
  </si>
  <si>
    <t>Mi Portafolio</t>
  </si>
  <si>
    <t>¿Cuánto quieres invertir?</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</si>
  <si>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</si>
  <si>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</si>
  <si>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</si>
  <si>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</si>
  <si>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</si>
  <si>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</si>
  <si>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</si>
  <si>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</si>
  <si>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</si>
  <si>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</si>
  <si>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Valor inicial portafolio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</si>
  <si>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</si>
  <si>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</si>
  <si>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</si>
  <si>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</si>
  <si>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</si>
  <si>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</si>
  <si>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</si>
  <si>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</si>
  <si>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</si>
  <si>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</si>
  <si>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</si>
  <si>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</si>
  <si>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</si>
  <si>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el rendimiento total de cada una, caso contrario, la columna de "Rendimiento Total" por emisora se convierte en rendimiento simple pero en ningún caso afecta el cálculo del rendimiento total del portafolio.</t>
    </r>
  </si>
  <si>
    <t>3. En la última columna te marcará las diferencias en peso de cada emisora vs el Portafolio Modelo así como un % de desviación total y calificación de indexación.</t>
  </si>
  <si>
    <t>Universo:</t>
  </si>
  <si>
    <t>Rebalanceo:</t>
  </si>
  <si>
    <t>Monto mínimo sugerido:</t>
  </si>
  <si>
    <t>Fecha de inicio:</t>
  </si>
  <si>
    <t>Semestral</t>
  </si>
  <si>
    <t>TIIE 1 día promedio mensual</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</si>
  <si>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</si>
  <si>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</si>
  <si>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</si>
  <si>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</si>
  <si>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</si>
  <si>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Consumo básico</t>
  </si>
  <si>
    <t>Industrial</t>
  </si>
  <si>
    <t>Materiales</t>
  </si>
  <si>
    <t>Efectivo</t>
  </si>
  <si>
    <t>GICS únicos</t>
  </si>
  <si>
    <t>PM</t>
  </si>
  <si>
    <t>MP1</t>
  </si>
  <si>
    <t>MP2</t>
  </si>
  <si>
    <t>% Mínimo por emisora</t>
  </si>
  <si>
    <t>% Máximo por emisora</t>
  </si>
  <si>
    <t>Consumo discrecional</t>
  </si>
  <si>
    <t>**En la última pestaña están las posiciones de los rebalanceos de los 12 meses anteriores a los 2 presentados en  la pestaña "Último rebalanceo"</t>
  </si>
  <si>
    <t>Rend. Logarítmico</t>
  </si>
  <si>
    <t>Rend. Simple</t>
  </si>
  <si>
    <t>0-5%</t>
  </si>
  <si>
    <t>Acciones fraccionadas</t>
  </si>
  <si>
    <t>ÍNDICES MEX-USA REGRESIÓN A LA MEDIA</t>
  </si>
  <si>
    <t>1 de Enero 2021</t>
  </si>
  <si>
    <t>Sí</t>
  </si>
  <si>
    <t>Índices Mex-USA Regresión a la media</t>
  </si>
  <si>
    <t>NAFTRACISHRS</t>
  </si>
  <si>
    <t>DIA</t>
  </si>
  <si>
    <t>QQQ</t>
  </si>
  <si>
    <t>VOO</t>
  </si>
  <si>
    <t>Invesco QQQ Trust</t>
  </si>
  <si>
    <t>SPDR Dow Jones Industrial Average ETF Trust</t>
  </si>
  <si>
    <t>iShares NAFTRAC</t>
  </si>
  <si>
    <t>Vanguard S&amp;P 500 ETF</t>
  </si>
  <si>
    <t>BMV &amp; USA</t>
  </si>
  <si>
    <t>Toma los principales índices de México y USA (IPC, DJ, Nasdaq y SP500), comparando su precio actual contra su mediana de precios mensuales de los últimos 12 meses y asigna entre 0 y 25% a cada índice de acuerdo a su nivel de desviación a través de sus ETF's más representativos (NAFTRAC, DIA, QQQ y VOO, respectivamente). Sub/Sobreasignaciones equitativas al número de índices &gt; 0% (Sin límite). Busca estar 100% invertido o lo más cercano a ello. ETF's de USA fraccionados.</t>
  </si>
  <si>
    <t>Precio mercado inicio rebalanceo en MXN</t>
  </si>
  <si>
    <t>***Los rendimientos calculados, son brutos (no contemplan ninguna clase de comisión ni impuestos).</t>
  </si>
  <si>
    <t>Precio mercado final rebalanceo en MXN</t>
  </si>
  <si>
    <t>Dividendos cobrados en el  en MXN</t>
  </si>
  <si>
    <t>*Los precios y rendimientos están calculados en MXN al tipo de cambio del día de las operaciones. Para fines informativos se incluye también el rendimiento total (ponderado, teórico al 100% invertido) en moneda local (sin el efecto del tipo de cambio para los ETF's de USA).</t>
  </si>
  <si>
    <t>Rend. Logarítmico sin TC</t>
  </si>
  <si>
    <t>**Para el remanente de efectivo, se puede seleccionar entre un rendimiento igual al promedio mensual de la TIIE de fondeo a 1 día durante el período entre rebalanceos (base 30/360) o si se quiere omitir, seleccionar 0 en la casilla de TIIE en la pestaña último rebalanceo. No se incluyen los dividendos cobrados en el período para el cálculo.</t>
  </si>
  <si>
    <t>AGREGA TUS TÍTULOS Y COSTO ACTUAL (ANTES DE ESTE REBALANCEO) Y EN LA PARTE INFERIOR CAMBIA A TUS PRECIOS REALES DE EJECUCIÓN (VIENEN POR DEFAULT LOS ÚLTIMOS DE CIERRE A LA FECHA DEL REBALANCEO) PARA OBTENER EL NÚMERO DE TÍTULOS A COMPRAR (VENDER) POR EMISORA.</t>
  </si>
  <si>
    <t xml:space="preserve">Valor final </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</si>
  <si>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</si>
  <si>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</si>
  <si>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Alta (15-20%)</t>
  </si>
  <si>
    <t>DJ TR</t>
  </si>
  <si>
    <t>Nasdaq TR</t>
  </si>
  <si>
    <t>IPC IRT</t>
  </si>
  <si>
    <t>SP500 TR</t>
  </si>
  <si>
    <t>PORTAFOLIO</t>
  </si>
  <si>
    <t xml:space="preserve">      30-Jun-24</t>
  </si>
  <si>
    <t>al 31-Dic-24</t>
  </si>
  <si>
    <t>Rendimiento Total sobre Costo Actual</t>
  </si>
  <si>
    <t xml:space="preserve">      31-Dic-24</t>
  </si>
  <si>
    <t>al 27-Jun-25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</si>
</sst>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0"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i/>
      <sz val="8"/>
      <color theme="1"/>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9"/>
      <color theme="0"/>
      <name val="Malgun Gothic"/>
      <family val="2"/>
    </font>
    <font>
      <sz val="10.5"/>
      <color theme="6" tint="0.79998168889431442"/>
      <name val="Microsoft JhengHei"/>
      <family val="2"/>
    </font>
    <font>
      <b/>
      <i/>
      <sz val="9"/>
      <color rgb="FF002060"/>
      <name val="Microsoft JhengHei"/>
      <family val="2"/>
    </font>
    <font>
      <sz val="9"/>
      <color theme="0"/>
      <name val="Microsoft JhengHei"/>
      <family val="2"/>
    </font>
    <font>
      <sz val="9"/>
      <color theme="0"/>
      <name val="Malgun Gothic"/>
      <family val="2"/>
    </font>
    <font>
      <sz val="11"/>
      <color rgb="FFFF0000"/>
      <name val="Microsoft JhengHei"/>
      <family val="2"/>
    </font>
  </fonts>
  <fills count="9">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s>
  <borders count="32">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right style="thick">
        <color theme="3" tint="0.79998168889431442"/>
      </right>
      <top/>
      <bottom/>
      <diagonal/>
    </border>
    <border>
      <left style="thick">
        <color theme="3" tint="0.79998168889431442"/>
      </left>
      <right/>
      <top style="thick">
        <color theme="3" tint="0.79998168889431442"/>
      </top>
      <bottom style="medium">
        <color theme="4" tint="0.39997558519241921"/>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2">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0" fontId="2" fillId="0" borderId="17"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20"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9" fontId="3" fillId="0" borderId="0" xfId="3" applyFont="1" applyFill="1"/>
    <xf numFmtId="0" fontId="13" fillId="0" borderId="0" xfId="0" applyFont="1"/>
    <xf numFmtId="168" fontId="19"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2" fillId="0" borderId="0" xfId="0" applyFont="1"/>
    <xf numFmtId="0" fontId="23" fillId="0" borderId="0" xfId="0" applyFont="1" applyAlignment="1">
      <alignment vertical="center" wrapText="1"/>
    </xf>
    <xf numFmtId="0" fontId="27" fillId="0" borderId="0" xfId="0" applyFont="1"/>
    <xf numFmtId="0" fontId="28" fillId="0" borderId="0" xfId="0" applyFont="1"/>
    <xf numFmtId="0" fontId="24" fillId="7" borderId="0" xfId="0" applyFont="1" applyFill="1" applyAlignment="1">
      <alignment vertical="center"/>
    </xf>
    <xf numFmtId="0" fontId="25" fillId="7" borderId="0" xfId="0" applyFont="1" applyFill="1" applyAlignment="1">
      <alignment vertical="center"/>
    </xf>
    <xf numFmtId="0" fontId="24" fillId="3" borderId="0" xfId="0" applyFont="1" applyFill="1" applyAlignment="1">
      <alignment vertical="center"/>
    </xf>
    <xf numFmtId="0" fontId="25" fillId="3" borderId="0" xfId="0" applyFont="1" applyFill="1" applyAlignment="1">
      <alignment vertical="center"/>
    </xf>
    <xf numFmtId="0" fontId="30" fillId="0" borderId="0" xfId="0" applyFont="1"/>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29" fillId="0" borderId="0" xfId="0" applyFont="1" applyAlignment="1">
      <alignment wrapText="1"/>
    </xf>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3" fillId="0" borderId="0" xfId="0" applyFont="1"/>
    <xf numFmtId="43" fontId="33" fillId="0" borderId="1" xfId="0" applyNumberFormat="1" applyFont="1" applyBorder="1"/>
    <xf numFmtId="10" fontId="33" fillId="0" borderId="0" xfId="3" applyNumberFormat="1" applyFont="1"/>
    <xf numFmtId="0" fontId="2" fillId="0" borderId="0" xfId="0" applyFont="1" applyAlignment="1">
      <alignment horizontal="left"/>
    </xf>
    <xf numFmtId="0" fontId="31" fillId="6" borderId="29" xfId="0" applyFont="1" applyFill="1" applyBorder="1" applyAlignment="1">
      <alignment horizontal="center"/>
    </xf>
    <xf numFmtId="0" fontId="17" fillId="0" borderId="0" xfId="0" applyFont="1" applyAlignment="1">
      <alignment horizontal="left"/>
    </xf>
    <xf numFmtId="167" fontId="2" fillId="0" borderId="0" xfId="1" applyNumberFormat="1" applyFont="1" applyBorder="1"/>
    <xf numFmtId="43" fontId="11" fillId="4" borderId="17" xfId="1" applyFont="1" applyFill="1" applyBorder="1" applyProtection="1">
      <protection locked="0"/>
    </xf>
    <xf numFmtId="0" fontId="7" fillId="6" borderId="4" xfId="0" applyFont="1" applyFill="1" applyBorder="1"/>
    <xf numFmtId="44" fontId="7" fillId="6" borderId="4" xfId="2" applyFont="1" applyFill="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7" fontId="2" fillId="0" borderId="20" xfId="1" applyNumberFormat="1" applyFont="1" applyBorder="1"/>
    <xf numFmtId="167" fontId="2" fillId="0" borderId="1" xfId="0"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19" fillId="0" borderId="0" xfId="3" applyNumberFormat="1" applyFont="1"/>
    <xf numFmtId="10" fontId="34" fillId="0" borderId="0" xfId="3" applyNumberFormat="1" applyFont="1"/>
    <xf numFmtId="165" fontId="31" fillId="6" borderId="29" xfId="2" applyNumberFormat="1" applyFont="1" applyFill="1" applyBorder="1" applyAlignment="1">
      <alignment horizontal="right" vertical="center"/>
    </xf>
    <xf numFmtId="2" fontId="2" fillId="0" borderId="17" xfId="0" applyNumberFormat="1" applyFont="1" applyBorder="1"/>
    <xf numFmtId="2" fontId="11" fillId="4" borderId="17" xfId="0" applyNumberFormat="1" applyFont="1" applyFill="1" applyBorder="1" applyProtection="1">
      <protection locked="0"/>
    </xf>
    <xf numFmtId="2" fontId="2" fillId="0" borderId="1" xfId="0" applyNumberFormat="1" applyFont="1" applyBorder="1"/>
    <xf numFmtId="0" fontId="3" fillId="2" borderId="7" xfId="0" applyFont="1" applyFill="1" applyBorder="1"/>
    <xf numFmtId="0" fontId="3" fillId="2" borderId="8" xfId="0" applyFont="1" applyFill="1" applyBorder="1"/>
    <xf numFmtId="0" fontId="37" fillId="0" borderId="0" xfId="0" applyFont="1"/>
    <xf numFmtId="15" fontId="38" fillId="8" borderId="0" xfId="0" applyNumberFormat="1" applyFont="1" applyFill="1" applyAlignment="1">
      <alignment horizontal="left" vertical="center"/>
    </xf>
    <xf numFmtId="0" fontId="38" fillId="0" borderId="0" xfId="0" applyFont="1"/>
    <xf numFmtId="164" fontId="37" fillId="0" borderId="0" xfId="3" applyNumberFormat="1" applyFont="1"/>
    <xf numFmtId="168" fontId="2" fillId="0" borderId="0" xfId="0" applyNumberFormat="1" applyFont="1"/>
    <xf numFmtId="0" fontId="3" fillId="3" borderId="1" xfId="0" applyFont="1" applyFill="1" applyBorder="1" applyAlignment="1">
      <alignment horizontal="center" vertical="center" wrapText="1"/>
    </xf>
    <xf numFmtId="164" fontId="2" fillId="0" borderId="31" xfId="3" applyNumberFormat="1" applyFont="1" applyBorder="1"/>
    <xf numFmtId="165" fontId="21" fillId="4" borderId="2" xfId="2" applyNumberFormat="1" applyFont="1" applyFill="1" applyBorder="1" applyAlignment="1" applyProtection="1">
      <protection locked="0"/>
    </xf>
    <xf numFmtId="0" fontId="39" fillId="0" borderId="0" xfId="0" applyFont="1"/>
    <xf numFmtId="0" fontId="25" fillId="0" borderId="0" xfId="0" applyFont="1"/>
    <xf numFmtId="0" fontId="32" fillId="0" borderId="0" xfId="0" applyFont="1" applyAlignment="1">
      <alignment horizontal="left" vertical="center" wrapText="1"/>
    </xf>
    <xf numFmtId="0" fontId="24" fillId="7" borderId="0" xfId="0" applyFont="1" applyFill="1" applyAlignment="1">
      <alignment horizontal="left" vertical="center" wrapText="1"/>
    </xf>
    <xf numFmtId="0" fontId="24" fillId="3" borderId="0" xfId="0" applyFont="1" applyFill="1" applyAlignment="1">
      <alignment horizontal="left" vertical="center" wrapText="1"/>
    </xf>
    <xf numFmtId="0" fontId="35" fillId="6" borderId="0" xfId="0" applyFont="1" applyFill="1" applyAlignment="1">
      <alignment horizontal="left" vertical="center" wrapText="1"/>
    </xf>
    <xf numFmtId="0" fontId="27" fillId="4" borderId="0" xfId="0" applyFont="1" applyFill="1" applyAlignment="1">
      <alignment horizontal="left"/>
    </xf>
    <xf numFmtId="0" fontId="36" fillId="0" borderId="0" xfId="0" applyFont="1" applyAlignment="1">
      <alignment horizontal="left" wrapText="1"/>
    </xf>
    <xf numFmtId="0" fontId="32" fillId="0" borderId="0" xfId="0" applyFont="1" applyAlignment="1">
      <alignment horizontal="left"/>
    </xf>
    <xf numFmtId="0" fontId="32" fillId="0" borderId="0" xfId="0" applyFont="1" applyAlignment="1">
      <alignment horizontal="left" wrapText="1"/>
    </xf>
    <xf numFmtId="0" fontId="29" fillId="2" borderId="0" xfId="0" applyFont="1" applyFill="1" applyAlignment="1">
      <alignment horizontal="left" wrapText="1"/>
    </xf>
    <xf numFmtId="0" fontId="29" fillId="2" borderId="0" xfId="0" applyFont="1" applyFill="1" applyAlignment="1">
      <alignment horizontal="left"/>
    </xf>
    <xf numFmtId="0" fontId="6" fillId="0" borderId="0" xfId="0" applyFont="1" applyAlignment="1">
      <alignment horizontal="left"/>
    </xf>
    <xf numFmtId="0" fontId="14" fillId="0" borderId="2" xfId="0" applyFont="1" applyBorder="1" applyAlignment="1">
      <alignment horizontal="left"/>
    </xf>
    <xf numFmtId="0" fontId="8" fillId="5" borderId="3" xfId="0" applyFont="1" applyFill="1" applyBorder="1" applyAlignment="1">
      <alignment horizontal="left"/>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8" fillId="6" borderId="0" xfId="0" applyFont="1" applyFill="1" applyAlignment="1">
      <alignment horizontal="left"/>
    </xf>
    <xf numFmtId="44" fontId="2" fillId="0" borderId="0" xfId="0" applyNumberFormat="1" applyFont="1" applyAlignment="1">
      <alignment horizontal="right"/>
    </xf>
    <xf numFmtId="44" fontId="2" fillId="0" borderId="30" xfId="0" applyNumberFormat="1" applyFont="1" applyBorder="1" applyAlignment="1">
      <alignment horizontal="right"/>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cellXfs>
  <cellStyles count="4">
    <cellStyle name="Millares" xfId="1" builtinId="3"/>
    <cellStyle name="Moneda" xfId="2" builtinId="4"/>
    <cellStyle name="Normal" xfId="0" builtinId="0"/>
    <cellStyle name="Porcentaje" xfId="3" builtinId="5"/>
  </cellStyles>
  <dxfs count="31">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784FC9"/>
      <color rgb="FF8F45C7"/>
      <color rgb="FF7847C9"/>
      <color rgb="FF8C47C5"/>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89524135570011"/>
          <c:y val="5.75922876560582E-2"/>
          <c:w val="0.83413693940431355"/>
          <c:h val="0.81993652884644175"/>
        </c:manualLayout>
      </c:layout>
      <c:lineChart>
        <c:grouping val="standard"/>
        <c:varyColors val="0"/>
        <c:ser>
          <c:idx val="0"/>
          <c:order val="0"/>
          <c:tx>
            <c:strRef>
              <c:f>Estrategia!$B$23</c:f>
              <c:strCache>
                <c:ptCount val="1"/>
                <c:pt idx="0">
                  <c:v>PORTAFOLIO</c:v>
                </c:pt>
              </c:strCache>
            </c:strRef>
          </c:tx>
          <c:spPr>
            <a:ln w="34925" cap="rnd">
              <a:solidFill>
                <a:srgbClr val="784FC9"/>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6748510783978091"/>
                      <c:h val="0.16422639477757586"/>
                    </c:manualLayout>
                  </c15:layout>
                </c:ext>
                <c:ext xmlns:c16="http://schemas.microsoft.com/office/drawing/2014/chart" uri="{C3380CC4-5D6E-409C-BE32-E72D297353CC}">
                  <c16:uniqueId val="{00000004-B146-4F36-9DA1-846BA18A4354}"/>
                </c:ext>
              </c:extLst>
            </c:dLbl>
            <c:dLbl>
              <c:idx val="8"/>
              <c:layout>
                <c:manualLayout>
                  <c:x val="-0.22173913043478263"/>
                  <c:y val="-3.4220831711625391E-2"/>
                </c:manualLayout>
              </c:layout>
              <c:showLegendKey val="0"/>
              <c:showVal val="1"/>
              <c:showCatName val="0"/>
              <c:showSerName val="1"/>
              <c:showPercent val="0"/>
              <c:showBubbleSize val="0"/>
              <c:extLst>
                <c:ext xmlns:c15="http://schemas.microsoft.com/office/drawing/2012/chart" uri="{CE6537A1-D6FC-4f65-9D91-7224C49458BB}">
                  <c15:layout>
                    <c:manualLayout>
                      <c:w val="0.29357206436152"/>
                      <c:h val="7.7676716265980064E-2"/>
                    </c:manualLayout>
                  </c15:layout>
                </c:ext>
                <c:ext xmlns:c16="http://schemas.microsoft.com/office/drawing/2014/chart" uri="{C3380CC4-5D6E-409C-BE32-E72D297353CC}">
                  <c16:uniqueId val="{00000000-F826-48D2-9142-8C06A025E31C}"/>
                </c:ext>
              </c:extLst>
            </c:dLbl>
            <c:numFmt formatCode="0.0%" sourceLinked="0"/>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44561</c:v>
                </c:pt>
                <c:pt idx="1">
                  <c:v>44742</c:v>
                </c:pt>
                <c:pt idx="2">
                  <c:v>44926</c:v>
                </c:pt>
                <c:pt idx="3">
                  <c:v>45107</c:v>
                </c:pt>
                <c:pt idx="4">
                  <c:v>45291</c:v>
                </c:pt>
                <c:pt idx="5">
                  <c:v>45473</c:v>
                </c:pt>
                <c:pt idx="6">
                  <c:v>45657</c:v>
                </c:pt>
                <c:pt idx="7">
                  <c:v>45835</c:v>
                </c:pt>
                <c:pt idx="8">
                  <c:v>46024</c:v>
                </c:pt>
              </c:numCache>
            </c:numRef>
          </c:cat>
          <c:val>
            <c:numRef>
              <c:f>Estrategia!$C$23:$K$23</c:f>
              <c:numCache>
                <c:formatCode>0.0%</c:formatCode>
                <c:ptCount val="9"/>
                <c:pt idx="0">
                  <c:v>0.2415032038572219</c:v>
                </c:pt>
                <c:pt idx="1">
                  <c:v>2.8919296073562001E-2</c:v>
                </c:pt>
                <c:pt idx="2">
                  <c:v>1.4030190779793466E-2</c:v>
                </c:pt>
                <c:pt idx="3">
                  <c:v>0.13337724861537198</c:v>
                </c:pt>
                <c:pt idx="4">
                  <c:v>0.21703331949335708</c:v>
                </c:pt>
                <c:pt idx="5">
                  <c:v>0.3561486864903875</c:v>
                </c:pt>
                <c:pt idx="6">
                  <c:v>0.56155795698650013</c:v>
                </c:pt>
                <c:pt idx="7">
                  <c:v>0.57283878684962186</c:v>
                </c:pt>
                <c:pt idx="8">
                  <c:v>0.65749281979082286</c:v>
                </c:pt>
              </c:numCache>
            </c:numRef>
          </c:val>
          <c:smooth val="0"/>
          <c:extLst>
            <c:ext xmlns:c16="http://schemas.microsoft.com/office/drawing/2014/chart" uri="{C3380CC4-5D6E-409C-BE32-E72D297353CC}">
              <c16:uniqueId val="{00000000-5A5A-4C8D-8EC2-42D5E6DF4B4E}"/>
            </c:ext>
          </c:extLst>
        </c:ser>
        <c:ser>
          <c:idx val="1"/>
          <c:order val="1"/>
          <c:tx>
            <c:strRef>
              <c:f>Estrategia!$B$24</c:f>
              <c:strCache>
                <c:ptCount val="1"/>
                <c:pt idx="0">
                  <c:v>IPC IRT</c:v>
                </c:pt>
              </c:strCache>
            </c:strRef>
          </c:tx>
          <c:spPr>
            <a:ln w="19050" cap="rnd">
              <a:solidFill>
                <a:schemeClr val="accent2">
                  <a:alpha val="50000"/>
                </a:schemeClr>
              </a:solidFill>
              <a:round/>
            </a:ln>
            <a:effectLst>
              <a:outerShdw blurRad="57150" dist="19050" dir="5400000" algn="ctr" rotWithShape="0">
                <a:srgbClr val="000000">
                  <a:alpha val="63000"/>
                </a:srgbClr>
              </a:outerShdw>
            </a:effectLst>
          </c:spPr>
          <c:marker>
            <c:symbol val="none"/>
          </c:marker>
          <c:dLbls>
            <c:dLbl>
              <c:idx val="8"/>
              <c:layout>
                <c:manualLayout>
                  <c:x val="-0.1652173913043479"/>
                  <c:y val="0.33460076045627363"/>
                </c:manualLayout>
              </c:layout>
              <c:spPr>
                <a:solidFill>
                  <a:sysClr val="window" lastClr="FFFFFF"/>
                </a:solidFill>
                <a:ln>
                  <a:solidFill>
                    <a:srgbClr val="ED7D31"/>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3-F826-48D2-9142-8C06A025E31C}"/>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44561</c:v>
                </c:pt>
                <c:pt idx="1">
                  <c:v>44742</c:v>
                </c:pt>
                <c:pt idx="2">
                  <c:v>44926</c:v>
                </c:pt>
                <c:pt idx="3">
                  <c:v>45107</c:v>
                </c:pt>
                <c:pt idx="4">
                  <c:v>45291</c:v>
                </c:pt>
                <c:pt idx="5">
                  <c:v>45473</c:v>
                </c:pt>
                <c:pt idx="6">
                  <c:v>45657</c:v>
                </c:pt>
                <c:pt idx="7">
                  <c:v>45835</c:v>
                </c:pt>
                <c:pt idx="8">
                  <c:v>46024</c:v>
                </c:pt>
              </c:numCache>
            </c:numRef>
          </c:cat>
          <c:val>
            <c:numRef>
              <c:f>Estrategia!$C$24:$K$24</c:f>
              <c:numCache>
                <c:formatCode>0.0%</c:formatCode>
                <c:ptCount val="9"/>
                <c:pt idx="0">
                  <c:v>0.21819676423079365</c:v>
                </c:pt>
                <c:pt idx="1">
                  <c:v>0.12091226889165534</c:v>
                </c:pt>
                <c:pt idx="2">
                  <c:v>0.15911226889165533</c:v>
                </c:pt>
                <c:pt idx="3">
                  <c:v>0.27581226889165533</c:v>
                </c:pt>
                <c:pt idx="4">
                  <c:v>0.36338741139924419</c:v>
                </c:pt>
                <c:pt idx="5">
                  <c:v>0.28874161462326675</c:v>
                </c:pt>
                <c:pt idx="6">
                  <c:v>0.25022163047697699</c:v>
                </c:pt>
                <c:pt idx="7">
                  <c:v>0.41945726442700604</c:v>
                </c:pt>
                <c:pt idx="8">
                  <c:v>0.55148514880274702</c:v>
                </c:pt>
              </c:numCache>
            </c:numRef>
          </c:val>
          <c:smooth val="0"/>
          <c:extLst>
            <c:ext xmlns:c16="http://schemas.microsoft.com/office/drawing/2014/chart" uri="{C3380CC4-5D6E-409C-BE32-E72D297353CC}">
              <c16:uniqueId val="{00000000-E8C8-4B64-BBC8-32F1D3615174}"/>
            </c:ext>
          </c:extLst>
        </c:ser>
        <c:ser>
          <c:idx val="2"/>
          <c:order val="2"/>
          <c:tx>
            <c:strRef>
              <c:f>Estrategia!$B$25</c:f>
              <c:strCache>
                <c:ptCount val="1"/>
                <c:pt idx="0">
                  <c:v>DJ TR</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dLbls>
            <c:dLbl>
              <c:idx val="8"/>
              <c:layout>
                <c:manualLayout>
                  <c:x val="-0.43478260869565216"/>
                  <c:y val="6.8441064638783231E-2"/>
                </c:manualLayout>
              </c:layout>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4-F826-48D2-9142-8C06A025E31C}"/>
                </c:ext>
              </c:extLst>
            </c:dLbl>
            <c:spPr>
              <a:solidFill>
                <a:sysClr val="window" lastClr="FFFFFF"/>
              </a:solidFill>
              <a:ln>
                <a:solidFill>
                  <a:srgbClr val="70AD47"/>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44561</c:v>
                </c:pt>
                <c:pt idx="1">
                  <c:v>44742</c:v>
                </c:pt>
                <c:pt idx="2">
                  <c:v>44926</c:v>
                </c:pt>
                <c:pt idx="3">
                  <c:v>45107</c:v>
                </c:pt>
                <c:pt idx="4">
                  <c:v>45291</c:v>
                </c:pt>
                <c:pt idx="5">
                  <c:v>45473</c:v>
                </c:pt>
                <c:pt idx="6">
                  <c:v>45657</c:v>
                </c:pt>
                <c:pt idx="7">
                  <c:v>45835</c:v>
                </c:pt>
                <c:pt idx="8">
                  <c:v>46024</c:v>
                </c:pt>
              </c:numCache>
            </c:numRef>
          </c:cat>
          <c:val>
            <c:numRef>
              <c:f>Estrategia!$C$25:$K$25</c:f>
              <c:numCache>
                <c:formatCode>0.0%</c:formatCode>
                <c:ptCount val="9"/>
                <c:pt idx="0">
                  <c:v>0.19016953026265757</c:v>
                </c:pt>
                <c:pt idx="1">
                  <c:v>3.4242333495525717E-2</c:v>
                </c:pt>
                <c:pt idx="2">
                  <c:v>0.11904233349552572</c:v>
                </c:pt>
                <c:pt idx="3">
                  <c:v>0.16724233349552572</c:v>
                </c:pt>
                <c:pt idx="4">
                  <c:v>0.26906342106686004</c:v>
                </c:pt>
                <c:pt idx="5">
                  <c:v>0.31585435570853304</c:v>
                </c:pt>
                <c:pt idx="6">
                  <c:v>0.40871625954889934</c:v>
                </c:pt>
                <c:pt idx="7">
                  <c:v>0.44691996152958213</c:v>
                </c:pt>
                <c:pt idx="8">
                  <c:v>0.54779751378722119</c:v>
                </c:pt>
              </c:numCache>
            </c:numRef>
          </c:val>
          <c:smooth val="0"/>
          <c:extLst>
            <c:ext xmlns:c16="http://schemas.microsoft.com/office/drawing/2014/chart" uri="{C3380CC4-5D6E-409C-BE32-E72D297353CC}">
              <c16:uniqueId val="{00000000-B146-4F36-9DA1-846BA18A4354}"/>
            </c:ext>
          </c:extLst>
        </c:ser>
        <c:ser>
          <c:idx val="3"/>
          <c:order val="3"/>
          <c:tx>
            <c:strRef>
              <c:f>Estrategia!$B$26</c:f>
              <c:strCache>
                <c:ptCount val="1"/>
                <c:pt idx="0">
                  <c:v>Nasdaq TR</c:v>
                </c:pt>
              </c:strCache>
            </c:strRef>
          </c:tx>
          <c:spPr>
            <a:ln w="19050" cap="rnd">
              <a:solidFill>
                <a:schemeClr val="accent4">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3703834303320781"/>
                      <c:h val="0.13003836058954168"/>
                    </c:manualLayout>
                  </c15:layout>
                </c:ext>
                <c:ext xmlns:c16="http://schemas.microsoft.com/office/drawing/2014/chart" uri="{C3380CC4-5D6E-409C-BE32-E72D297353CC}">
                  <c16:uniqueId val="{00000005-B146-4F36-9DA1-846BA18A4354}"/>
                </c:ext>
              </c:extLst>
            </c:dLbl>
            <c:dLbl>
              <c:idx val="8"/>
              <c:layout>
                <c:manualLayout>
                  <c:x val="-0.12391304347826095"/>
                  <c:y val="0.29277626418370706"/>
                </c:manualLayout>
              </c:layout>
              <c:tx>
                <c:rich>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fld id="{0C1E7CAB-951E-48EC-AB8E-BB252C7AFCD6}" type="SERIESNAM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[NOMBRE DE LA SERIE]</a:t>
                    </a:fld>
                    <a:r>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t>, </a:t>
                    </a:r>
                    <a:fld id="{8CC5249F-4222-4146-996A-3DDCF6D23FF6}" type="VALU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[VALOR]</a:t>
                    </a:fld>
                    <a:endPar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endParaRPr>
                  </a:p>
                </c:rich>
              </c:tx>
              <c:spPr>
                <a:solidFill>
                  <a:sysClr val="window" lastClr="FFFFFF"/>
                </a:solidFill>
                <a:ln>
                  <a:solidFill>
                    <a:srgbClr val="FFC000"/>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3269051694625129"/>
                      <c:h val="0.10809496721655042"/>
                    </c:manualLayout>
                  </c15:layout>
                  <c15:dlblFieldTable/>
                  <c15:showDataLabelsRange val="0"/>
                </c:ext>
                <c:ext xmlns:c16="http://schemas.microsoft.com/office/drawing/2014/chart" uri="{C3380CC4-5D6E-409C-BE32-E72D297353CC}">
                  <c16:uniqueId val="{00000002-F826-48D2-9142-8C06A025E31C}"/>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44561</c:v>
                </c:pt>
                <c:pt idx="1">
                  <c:v>44742</c:v>
                </c:pt>
                <c:pt idx="2">
                  <c:v>44926</c:v>
                </c:pt>
                <c:pt idx="3">
                  <c:v>45107</c:v>
                </c:pt>
                <c:pt idx="4">
                  <c:v>45291</c:v>
                </c:pt>
                <c:pt idx="5">
                  <c:v>45473</c:v>
                </c:pt>
                <c:pt idx="6">
                  <c:v>45657</c:v>
                </c:pt>
                <c:pt idx="7">
                  <c:v>45835</c:v>
                </c:pt>
                <c:pt idx="8">
                  <c:v>46024</c:v>
                </c:pt>
              </c:numCache>
            </c:numRef>
          </c:cat>
          <c:val>
            <c:numRef>
              <c:f>Estrategia!$C$26:$K$26</c:f>
              <c:numCache>
                <c:formatCode>0.0%</c:formatCode>
                <c:ptCount val="9"/>
                <c:pt idx="0">
                  <c:v>0.20030099087333531</c:v>
                </c:pt>
                <c:pt idx="1">
                  <c:v>-0.14545315411076726</c:v>
                </c:pt>
                <c:pt idx="2">
                  <c:v>-0.19325315411076727</c:v>
                </c:pt>
                <c:pt idx="3">
                  <c:v>8.674684588923276E-2</c:v>
                </c:pt>
                <c:pt idx="4">
                  <c:v>0.17576279192695532</c:v>
                </c:pt>
                <c:pt idx="5">
                  <c:v>0.34607672739985684</c:v>
                </c:pt>
                <c:pt idx="6">
                  <c:v>0.43506589967170584</c:v>
                </c:pt>
                <c:pt idx="7">
                  <c:v>0.59466999856477187</c:v>
                </c:pt>
                <c:pt idx="8">
                  <c:v>0.71177855519013333</c:v>
                </c:pt>
              </c:numCache>
            </c:numRef>
          </c:val>
          <c:smooth val="0"/>
          <c:extLst>
            <c:ext xmlns:c16="http://schemas.microsoft.com/office/drawing/2014/chart" uri="{C3380CC4-5D6E-409C-BE32-E72D297353CC}">
              <c16:uniqueId val="{00000001-B146-4F36-9DA1-846BA18A4354}"/>
            </c:ext>
          </c:extLst>
        </c:ser>
        <c:ser>
          <c:idx val="4"/>
          <c:order val="4"/>
          <c:tx>
            <c:strRef>
              <c:f>Estrategia!$B$27</c:f>
              <c:strCache>
                <c:ptCount val="1"/>
                <c:pt idx="0">
                  <c:v>SP500 TR</c:v>
                </c:pt>
              </c:strCache>
            </c:strRef>
          </c:tx>
          <c:spPr>
            <a:ln w="19050" cap="rnd">
              <a:solidFill>
                <a:schemeClr val="accent5">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0513591235878123"/>
                      <c:h val="0.1385853691365502"/>
                    </c:manualLayout>
                  </c15:layout>
                </c:ext>
                <c:ext xmlns:c16="http://schemas.microsoft.com/office/drawing/2014/chart" uri="{C3380CC4-5D6E-409C-BE32-E72D297353CC}">
                  <c16:uniqueId val="{00000003-B146-4F36-9DA1-846BA18A4354}"/>
                </c:ext>
              </c:extLst>
            </c:dLbl>
            <c:dLbl>
              <c:idx val="8"/>
              <c:layout>
                <c:manualLayout>
                  <c:x val="-0.36304347826086963"/>
                  <c:y val="4.5627376425855494E-2"/>
                </c:manualLayout>
              </c:layout>
              <c:spPr>
                <a:solidFill>
                  <a:sysClr val="window" lastClr="FFFFFF"/>
                </a:solidFill>
                <a:ln>
                  <a:solidFill>
                    <a:srgbClr val="5B9BD5"/>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2252721670660733"/>
                      <c:h val="0.10049040447890782"/>
                    </c:manualLayout>
                  </c15:layout>
                </c:ext>
                <c:ext xmlns:c16="http://schemas.microsoft.com/office/drawing/2014/chart" uri="{C3380CC4-5D6E-409C-BE32-E72D297353CC}">
                  <c16:uniqueId val="{00000001-F826-48D2-9142-8C06A025E31C}"/>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44561</c:v>
                </c:pt>
                <c:pt idx="1">
                  <c:v>44742</c:v>
                </c:pt>
                <c:pt idx="2">
                  <c:v>44926</c:v>
                </c:pt>
                <c:pt idx="3">
                  <c:v>45107</c:v>
                </c:pt>
                <c:pt idx="4">
                  <c:v>45291</c:v>
                </c:pt>
                <c:pt idx="5">
                  <c:v>45473</c:v>
                </c:pt>
                <c:pt idx="6">
                  <c:v>45657</c:v>
                </c:pt>
                <c:pt idx="7">
                  <c:v>45835</c:v>
                </c:pt>
                <c:pt idx="8">
                  <c:v>46024</c:v>
                </c:pt>
              </c:numCache>
            </c:numRef>
          </c:cat>
          <c:val>
            <c:numRef>
              <c:f>Estrategia!$C$27:$K$27</c:f>
              <c:numCache>
                <c:formatCode>0.0%</c:formatCode>
                <c:ptCount val="9"/>
                <c:pt idx="0">
                  <c:v>0.25236208381831271</c:v>
                </c:pt>
                <c:pt idx="1">
                  <c:v>2.9727830328572125E-2</c:v>
                </c:pt>
                <c:pt idx="2">
                  <c:v>5.2527830328572125E-2</c:v>
                </c:pt>
                <c:pt idx="3">
                  <c:v>0.20862783032857213</c:v>
                </c:pt>
                <c:pt idx="4">
                  <c:v>0.28591681598993191</c:v>
                </c:pt>
                <c:pt idx="5">
                  <c:v>0.42821368271083649</c:v>
                </c:pt>
                <c:pt idx="6">
                  <c:v>0.51342213675170045</c:v>
                </c:pt>
                <c:pt idx="7">
                  <c:v>0.56416191701446283</c:v>
                </c:pt>
                <c:pt idx="8">
                  <c:v>0.6737145410460188</c:v>
                </c:pt>
              </c:numCache>
            </c:numRef>
          </c:val>
          <c:smooth val="0"/>
          <c:extLst>
            <c:ext xmlns:c16="http://schemas.microsoft.com/office/drawing/2014/chart" uri="{C3380CC4-5D6E-409C-BE32-E72D297353CC}">
              <c16:uniqueId val="{00000002-B146-4F36-9DA1-846BA18A435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100"/>
        <c:noMultiLvlLbl val="0"/>
      </c:catAx>
      <c:valAx>
        <c:axId val="917477360"/>
        <c:scaling>
          <c:orientation val="minMax"/>
          <c:max val="1"/>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minorUnit val="5.000000000000001E-2"/>
      </c:valAx>
      <c:spPr>
        <a:noFill/>
        <a:ln>
          <a:solidFill>
            <a:schemeClr val="accent1">
              <a:lumMod val="20000"/>
              <a:lumOff val="80000"/>
            </a:schemeClr>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ETF</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Lbls>
            <c:dLbl>
              <c:idx val="0"/>
              <c:layout>
                <c:manualLayout>
                  <c:x val="-0.1291922635196652"/>
                  <c:y val="0.1662476896901508"/>
                </c:manualLayout>
              </c:layout>
              <c:showLegendKey val="0"/>
              <c:showVal val="0"/>
              <c:showCatName val="1"/>
              <c:showSerName val="0"/>
              <c:showPercent val="1"/>
              <c:showBubbleSize val="0"/>
              <c:extLst>
                <c:ext xmlns:c15="http://schemas.microsoft.com/office/drawing/2012/chart" uri="{CE6537A1-D6FC-4f65-9D91-7224C49458BB}">
                  <c15:layout>
                    <c:manualLayout>
                      <c:w val="0.2323527945710766"/>
                      <c:h val="0.16703327152111802"/>
                    </c:manualLayout>
                  </c15:layout>
                </c:ext>
                <c:ext xmlns:c16="http://schemas.microsoft.com/office/drawing/2014/chart" uri="{C3380CC4-5D6E-409C-BE32-E72D297353CC}">
                  <c16:uniqueId val="{00000001-770D-4853-B367-2F1192322F55}"/>
                </c:ext>
              </c:extLst>
            </c:dLbl>
            <c:dLbl>
              <c:idx val="4"/>
              <c:layout>
                <c:manualLayout>
                  <c:x val="-0.22717527049842104"/>
                  <c:y val="-1.315144837689397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770D-4853-B367-2F1192322F55}"/>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Actual'!$B$6:$B$10</c:f>
              <c:strCache>
                <c:ptCount val="5"/>
                <c:pt idx="0">
                  <c:v>NAFTRACISHRS</c:v>
                </c:pt>
                <c:pt idx="1">
                  <c:v>DIA</c:v>
                </c:pt>
                <c:pt idx="2">
                  <c:v>QQQ</c:v>
                </c:pt>
                <c:pt idx="3">
                  <c:v>VOO</c:v>
                </c:pt>
                <c:pt idx="4">
                  <c:v>EFECTIVO</c:v>
                </c:pt>
              </c:strCache>
            </c:strRef>
          </c:cat>
          <c:val>
            <c:numRef>
              <c:f>'Portafolio Actual'!$K$6:$K$10</c:f>
              <c:numCache>
                <c:formatCode>0.0%</c:formatCode>
                <c:ptCount val="5"/>
                <c:pt idx="0">
                  <c:v>0.24804819341084719</c:v>
                </c:pt>
                <c:pt idx="1">
                  <c:v>0.24749999999999997</c:v>
                </c:pt>
                <c:pt idx="2">
                  <c:v>0.24749999999999997</c:v>
                </c:pt>
                <c:pt idx="3">
                  <c:v>0.24749999999999997</c:v>
                </c:pt>
                <c:pt idx="4">
                  <c:v>9.451806589152725E-3</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Lbls>
            <c:dLbl>
              <c:idx val="0"/>
              <c:layout>
                <c:manualLayout>
                  <c:x val="-9.9047402031743323E-2"/>
                  <c:y val="0.15084850292777921"/>
                </c:manualLayout>
              </c:layout>
              <c:showLegendKey val="0"/>
              <c:showVal val="0"/>
              <c:showCatName val="1"/>
              <c:showSerName val="0"/>
              <c:showPercent val="1"/>
              <c:showBubbleSize val="0"/>
              <c:extLst>
                <c:ext xmlns:c15="http://schemas.microsoft.com/office/drawing/2012/chart" uri="{CE6537A1-D6FC-4f65-9D91-7224C49458BB}">
                  <c15:layout>
                    <c:manualLayout>
                      <c:w val="0.24957842970703195"/>
                      <c:h val="0.18300283991471156"/>
                    </c:manualLayout>
                  </c15:layout>
                </c:ext>
                <c:ext xmlns:c16="http://schemas.microsoft.com/office/drawing/2014/chart" uri="{C3380CC4-5D6E-409C-BE32-E72D297353CC}">
                  <c16:uniqueId val="{00000001-E39F-45E3-8896-6A410148F6CF}"/>
                </c:ext>
              </c:extLst>
            </c:dLbl>
            <c:dLbl>
              <c:idx val="4"/>
              <c:layout>
                <c:manualLayout>
                  <c:x val="-0.22863470226269569"/>
                  <c:y val="2.94291010096995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39F-45E3-8896-6A410148F6CF}"/>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Actual'!$B$23:$B$27</c:f>
              <c:strCache>
                <c:ptCount val="5"/>
                <c:pt idx="0">
                  <c:v>NAFTRACISHRS</c:v>
                </c:pt>
                <c:pt idx="1">
                  <c:v>DIA</c:v>
                </c:pt>
                <c:pt idx="2">
                  <c:v>QQQ</c:v>
                </c:pt>
                <c:pt idx="3">
                  <c:v>VOO</c:v>
                </c:pt>
                <c:pt idx="4">
                  <c:v>EFECTIVO</c:v>
                </c:pt>
              </c:strCache>
            </c:strRef>
          </c:cat>
          <c:val>
            <c:numRef>
              <c:f>'Portafolio Actual'!$K$23:$K$27</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v>Índices regresión a la media</c:v>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Lbls>
            <c:dLbl>
              <c:idx val="0"/>
              <c:layout>
                <c:manualLayout>
                  <c:x val="-9.4740993247754479E-2"/>
                  <c:y val="0.16792402955092944"/>
                </c:manualLayout>
              </c:layout>
              <c:showLegendKey val="0"/>
              <c:showVal val="0"/>
              <c:showCatName val="1"/>
              <c:showSerName val="0"/>
              <c:showPercent val="1"/>
              <c:showBubbleSize val="0"/>
              <c:extLst>
                <c:ext xmlns:c15="http://schemas.microsoft.com/office/drawing/2012/chart" uri="{CE6537A1-D6FC-4f65-9D91-7224C49458BB}">
                  <c15:layout>
                    <c:manualLayout>
                      <c:w val="0.22373997700309892"/>
                      <c:h val="0.18120689181660529"/>
                    </c:manualLayout>
                  </c15:layout>
                </c:ext>
                <c:ext xmlns:c16="http://schemas.microsoft.com/office/drawing/2014/chart" uri="{C3380CC4-5D6E-409C-BE32-E72D297353CC}">
                  <c16:uniqueId val="{00000001-4C8B-4238-BC95-01C2233EA8C5}"/>
                </c:ext>
              </c:extLst>
            </c:dLbl>
            <c:dLbl>
              <c:idx val="4"/>
              <c:layout>
                <c:manualLayout>
                  <c:x val="-0.21250126733880553"/>
                  <c:y val="2.969805635548999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4C8B-4238-BC95-01C2233EA8C5}"/>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Actual'!$B$23:$B$27</c:f>
              <c:strCache>
                <c:ptCount val="5"/>
                <c:pt idx="0">
                  <c:v>NAFTRACISHRS</c:v>
                </c:pt>
                <c:pt idx="1">
                  <c:v>DIA</c:v>
                </c:pt>
                <c:pt idx="2">
                  <c:v>QQQ</c:v>
                </c:pt>
                <c:pt idx="3">
                  <c:v>VOO</c:v>
                </c:pt>
                <c:pt idx="4">
                  <c:v>EFECTIVO</c:v>
                </c:pt>
              </c:strCache>
            </c:strRef>
          </c:cat>
          <c:val>
            <c:numRef>
              <c:f>'Portafolio Actual'!$I$39:$I$43</c:f>
              <c:numCache>
                <c:formatCode>0.0%</c:formatCode>
                <c:ptCount val="5"/>
                <c:pt idx="0">
                  <c:v>0.24746666666666667</c:v>
                </c:pt>
                <c:pt idx="1">
                  <c:v>0.24749999999999997</c:v>
                </c:pt>
                <c:pt idx="2">
                  <c:v>0.24749999999999997</c:v>
                </c:pt>
                <c:pt idx="3">
                  <c:v>0.24749999999999997</c:v>
                </c:pt>
                <c:pt idx="4">
                  <c:v>1.0033333333333333E-2</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553200" y="139700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387351</xdr:colOff>
      <xdr:row>5</xdr:row>
      <xdr:rowOff>114300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613151" y="12382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14114</xdr:colOff>
      <xdr:row>3</xdr:row>
      <xdr:rowOff>183444</xdr:rowOff>
    </xdr:from>
    <xdr:to>
      <xdr:col>14</xdr:col>
      <xdr:colOff>761874</xdr:colOff>
      <xdr:row>13</xdr:row>
      <xdr:rowOff>185557</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17</xdr:row>
      <xdr:rowOff>63501</xdr:rowOff>
    </xdr:from>
    <xdr:to>
      <xdr:col>16</xdr:col>
      <xdr:colOff>754804</xdr:colOff>
      <xdr:row>27</xdr:row>
      <xdr:rowOff>0</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34</xdr:row>
      <xdr:rowOff>7056</xdr:rowOff>
    </xdr:from>
    <xdr:to>
      <xdr:col>14</xdr:col>
      <xdr:colOff>754796</xdr:colOff>
      <xdr:row>43</xdr:row>
      <xdr:rowOff>7057</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8A5566-5524-41BA-8696-5C8EB3B76131}">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B24" sqref="B24:O25"/>
    </sheetView>
  </sheetViews>
  <sheetFormatPr baseColWidth="10" defaultRowHeight="14.5" x14ac:dyDescent="0.35"/>
  <cols>
    <col min="1" max="1" width="3.453125" style="80" customWidth="1"/>
    <col min="2" max="2" width="10.90625" style="80"/>
    <col min="3" max="3" width="10.90625" style="80" customWidth="1"/>
    <col min="4" max="15" width="10.90625" style="80"/>
    <col min="16" max="16" width="10.90625" style="80" customWidth="1"/>
    <col min="17" max="16384" width="10.90625" style="80"/>
  </cols>
  <sheetData>
    <row r="1" spans="2:15" ht="7.5" customHeight="1" x14ac:dyDescent="0.35"/>
    <row r="2" spans="2:15" x14ac:dyDescent="0.35">
      <c r="B2" s="83" t="s">
        <v>33</v>
      </c>
    </row>
    <row r="3" spans="2:15" ht="18.5" customHeight="1" x14ac:dyDescent="0.35">
      <c r="B3" s="84" t="s">
        <v>47</v>
      </c>
      <c r="C3" s="85"/>
      <c r="D3" s="85"/>
      <c r="E3" s="85"/>
      <c r="F3" s="85"/>
      <c r="G3" s="85"/>
      <c r="H3" s="85"/>
      <c r="I3" s="85"/>
      <c r="J3" s="85"/>
      <c r="K3" s="85"/>
      <c r="L3" s="85"/>
      <c r="M3" s="85"/>
      <c r="N3" s="85"/>
      <c r="O3" s="85"/>
    </row>
    <row r="4" spans="2:15" ht="18.5" customHeight="1" x14ac:dyDescent="0.35">
      <c r="B4" s="135" t="s">
        <v>48</v>
      </c>
      <c r="C4" s="135"/>
      <c r="D4" s="135"/>
      <c r="E4" s="135"/>
      <c r="F4" s="135"/>
      <c r="G4" s="135"/>
      <c r="H4" s="135"/>
      <c r="I4" s="135"/>
      <c r="J4" s="135"/>
      <c r="K4" s="135"/>
      <c r="L4" s="135"/>
      <c r="M4" s="135"/>
      <c r="N4" s="135"/>
      <c r="O4" s="135"/>
    </row>
    <row r="5" spans="2:15" ht="15" customHeight="1" x14ac:dyDescent="0.35">
      <c r="B5" s="135"/>
      <c r="C5" s="135"/>
      <c r="D5" s="135"/>
      <c r="E5" s="135"/>
      <c r="F5" s="135"/>
      <c r="G5" s="135"/>
      <c r="H5" s="135"/>
      <c r="I5" s="135"/>
      <c r="J5" s="135"/>
      <c r="K5" s="135"/>
      <c r="L5" s="135"/>
      <c r="M5" s="135"/>
      <c r="N5" s="135"/>
      <c r="O5" s="135"/>
    </row>
    <row r="6" spans="2:15" ht="23" customHeight="1" x14ac:dyDescent="0.35">
      <c r="B6" s="84" t="s">
        <v>34</v>
      </c>
      <c r="C6" s="85"/>
      <c r="D6" s="85"/>
      <c r="E6" s="85"/>
      <c r="F6" s="85"/>
      <c r="G6" s="85"/>
      <c r="H6" s="85"/>
      <c r="I6" s="85"/>
      <c r="J6" s="85"/>
      <c r="K6" s="85"/>
      <c r="L6" s="85"/>
      <c r="M6" s="85"/>
      <c r="N6" s="85"/>
      <c r="O6" s="85"/>
    </row>
    <row r="7" spans="2:15" x14ac:dyDescent="0.35">
      <c r="B7" s="135" t="s">
        <v>37</v>
      </c>
      <c r="C7" s="135"/>
      <c r="D7" s="135"/>
      <c r="E7" s="135"/>
      <c r="F7" s="135"/>
      <c r="G7" s="135"/>
      <c r="H7" s="135"/>
      <c r="I7" s="135"/>
      <c r="J7" s="135"/>
      <c r="K7" s="135"/>
      <c r="L7" s="135"/>
      <c r="M7" s="135"/>
      <c r="N7" s="135"/>
      <c r="O7" s="135"/>
    </row>
    <row r="8" spans="2:15" ht="18" customHeight="1" x14ac:dyDescent="0.35">
      <c r="B8" s="135"/>
      <c r="C8" s="135"/>
      <c r="D8" s="135"/>
      <c r="E8" s="135"/>
      <c r="F8" s="135"/>
      <c r="G8" s="135"/>
      <c r="H8" s="135"/>
      <c r="I8" s="135"/>
      <c r="J8" s="135"/>
      <c r="K8" s="135"/>
      <c r="L8" s="135"/>
      <c r="M8" s="135"/>
      <c r="N8" s="135"/>
      <c r="O8" s="135"/>
    </row>
    <row r="9" spans="2:15" x14ac:dyDescent="0.35">
      <c r="B9" s="135" t="s">
        <v>38</v>
      </c>
      <c r="C9" s="135"/>
      <c r="D9" s="135"/>
      <c r="E9" s="135"/>
      <c r="F9" s="135"/>
      <c r="G9" s="135"/>
      <c r="H9" s="135"/>
      <c r="I9" s="135"/>
      <c r="J9" s="135"/>
      <c r="K9" s="135"/>
      <c r="L9" s="135"/>
      <c r="M9" s="135"/>
      <c r="N9" s="135"/>
      <c r="O9" s="135"/>
    </row>
    <row r="10" spans="2:15" ht="19" customHeight="1" x14ac:dyDescent="0.35">
      <c r="B10" s="135"/>
      <c r="C10" s="135"/>
      <c r="D10" s="135"/>
      <c r="E10" s="135"/>
      <c r="F10" s="135"/>
      <c r="G10" s="135"/>
      <c r="H10" s="135"/>
      <c r="I10" s="135"/>
      <c r="J10" s="135"/>
      <c r="K10" s="135"/>
      <c r="L10" s="135"/>
      <c r="M10" s="135"/>
      <c r="N10" s="135"/>
      <c r="O10" s="135"/>
    </row>
    <row r="11" spans="2:15" x14ac:dyDescent="0.35">
      <c r="B11" s="81"/>
      <c r="C11" s="81"/>
      <c r="D11" s="81"/>
      <c r="E11" s="81"/>
      <c r="F11" s="81"/>
      <c r="G11" s="81"/>
      <c r="H11" s="81"/>
      <c r="I11" s="81"/>
      <c r="J11" s="81"/>
      <c r="K11" s="81"/>
      <c r="L11" s="81"/>
      <c r="M11" s="81"/>
      <c r="N11" s="81"/>
      <c r="O11" s="81"/>
    </row>
    <row r="13" spans="2:15" x14ac:dyDescent="0.35">
      <c r="B13" s="82" t="s">
        <v>49</v>
      </c>
    </row>
    <row r="14" spans="2:15" ht="21.5" customHeight="1" x14ac:dyDescent="0.35">
      <c r="B14" s="86" t="s">
        <v>35</v>
      </c>
      <c r="C14" s="87"/>
      <c r="D14" s="87"/>
      <c r="E14" s="87"/>
      <c r="F14" s="87"/>
      <c r="G14" s="87"/>
      <c r="H14" s="87"/>
      <c r="I14" s="87"/>
      <c r="J14" s="87"/>
      <c r="K14" s="87"/>
      <c r="L14" s="87"/>
      <c r="M14" s="87"/>
      <c r="N14" s="87"/>
      <c r="O14" s="87"/>
    </row>
    <row r="15" spans="2:15" ht="19" customHeight="1" x14ac:dyDescent="0.35">
      <c r="B15" s="136" t="s">
        <v>36</v>
      </c>
      <c r="C15" s="136"/>
      <c r="D15" s="136"/>
      <c r="E15" s="136"/>
      <c r="F15" s="136"/>
      <c r="G15" s="136"/>
      <c r="H15" s="136"/>
      <c r="I15" s="136"/>
      <c r="J15" s="136"/>
      <c r="K15" s="136"/>
      <c r="L15" s="136"/>
      <c r="M15" s="136"/>
      <c r="N15" s="136"/>
      <c r="O15" s="136"/>
    </row>
    <row r="16" spans="2:15" x14ac:dyDescent="0.35">
      <c r="B16" s="136"/>
      <c r="C16" s="136"/>
      <c r="D16" s="136"/>
      <c r="E16" s="136"/>
      <c r="F16" s="136"/>
      <c r="G16" s="136"/>
      <c r="H16" s="136"/>
      <c r="I16" s="136"/>
      <c r="J16" s="136"/>
      <c r="K16" s="136"/>
      <c r="L16" s="136"/>
      <c r="M16" s="136"/>
      <c r="N16" s="136"/>
      <c r="O16" s="136"/>
    </row>
    <row r="17" spans="2:15" ht="20.5" customHeight="1" x14ac:dyDescent="0.35">
      <c r="B17" s="86" t="s">
        <v>39</v>
      </c>
      <c r="C17" s="87"/>
      <c r="D17" s="87"/>
      <c r="E17" s="87"/>
      <c r="F17" s="87"/>
      <c r="G17" s="87"/>
      <c r="H17" s="87"/>
      <c r="I17" s="87"/>
      <c r="J17" s="87"/>
      <c r="K17" s="87"/>
      <c r="L17" s="87"/>
      <c r="M17" s="87"/>
      <c r="N17" s="87"/>
      <c r="O17" s="87"/>
    </row>
    <row r="19" spans="2:15" ht="14.5" customHeight="1" x14ac:dyDescent="0.35">
      <c r="B19" s="134" t="s">
        <v>50</v>
      </c>
      <c r="C19" s="134"/>
      <c r="D19" s="134"/>
      <c r="E19" s="134"/>
      <c r="F19" s="134"/>
      <c r="G19" s="134"/>
      <c r="H19" s="134"/>
      <c r="I19" s="134"/>
      <c r="J19" s="134"/>
      <c r="K19" s="134"/>
      <c r="L19" s="134"/>
      <c r="M19" s="134"/>
      <c r="N19" s="134"/>
      <c r="O19" s="134"/>
    </row>
    <row r="20" spans="2:15" x14ac:dyDescent="0.35">
      <c r="B20" s="134"/>
      <c r="C20" s="134"/>
      <c r="D20" s="134"/>
      <c r="E20" s="134"/>
      <c r="F20" s="134"/>
      <c r="G20" s="134"/>
      <c r="H20" s="134"/>
      <c r="I20" s="134"/>
      <c r="J20" s="134"/>
      <c r="K20" s="134"/>
      <c r="L20" s="134"/>
      <c r="M20" s="134"/>
      <c r="N20" s="134"/>
      <c r="O20" s="134"/>
    </row>
    <row r="21" spans="2:15" x14ac:dyDescent="0.35">
      <c r="B21" s="134"/>
      <c r="C21" s="134"/>
      <c r="D21" s="134"/>
      <c r="E21" s="134"/>
      <c r="F21" s="134"/>
      <c r="G21" s="134"/>
      <c r="H21" s="134"/>
      <c r="I21" s="134"/>
      <c r="J21" s="134"/>
      <c r="K21" s="134"/>
      <c r="L21" s="134"/>
      <c r="M21" s="134"/>
      <c r="N21" s="134"/>
      <c r="O21" s="134"/>
    </row>
    <row r="22" spans="2:15" ht="14.5" customHeight="1" x14ac:dyDescent="0.35">
      <c r="B22" s="134" t="s">
        <v>62</v>
      </c>
      <c r="C22" s="134"/>
      <c r="D22" s="134"/>
      <c r="E22" s="134"/>
      <c r="F22" s="134"/>
      <c r="G22" s="134"/>
      <c r="H22" s="134"/>
      <c r="I22" s="134"/>
      <c r="J22" s="134"/>
      <c r="K22" s="134"/>
      <c r="L22" s="134"/>
      <c r="M22" s="134"/>
      <c r="N22" s="134"/>
      <c r="O22" s="134"/>
    </row>
    <row r="23" spans="2:15" ht="10.5" customHeight="1" x14ac:dyDescent="0.35">
      <c r="B23" s="108"/>
      <c r="C23" s="108"/>
      <c r="D23" s="108"/>
      <c r="E23" s="108"/>
      <c r="F23" s="108"/>
      <c r="G23" s="108"/>
      <c r="H23" s="108"/>
      <c r="I23" s="108"/>
      <c r="J23" s="108"/>
      <c r="K23" s="108"/>
      <c r="L23" s="108"/>
      <c r="M23" s="108"/>
      <c r="N23" s="108"/>
      <c r="O23" s="108"/>
    </row>
    <row r="24" spans="2:15" x14ac:dyDescent="0.35">
      <c r="B24" s="134" t="s">
        <v>90</v>
      </c>
      <c r="C24" s="134"/>
      <c r="D24" s="134"/>
      <c r="E24" s="134"/>
      <c r="F24" s="134"/>
      <c r="G24" s="134"/>
      <c r="H24" s="134"/>
      <c r="I24" s="134"/>
      <c r="J24" s="134"/>
      <c r="K24" s="134"/>
      <c r="L24" s="134"/>
      <c r="M24" s="134"/>
      <c r="N24" s="134"/>
      <c r="O24" s="134"/>
    </row>
    <row r="25" spans="2:15" ht="24" customHeight="1" x14ac:dyDescent="0.35">
      <c r="B25" s="134"/>
      <c r="C25" s="134"/>
      <c r="D25" s="134"/>
      <c r="E25" s="134"/>
      <c r="F25" s="134"/>
      <c r="G25" s="134"/>
      <c r="H25" s="134"/>
      <c r="I25" s="134"/>
      <c r="J25" s="134"/>
      <c r="K25" s="134"/>
      <c r="L25" s="134"/>
      <c r="M25" s="134"/>
      <c r="N25" s="134"/>
      <c r="O25" s="134"/>
    </row>
  </sheetData>
  <sheetProtection algorithmName="SHA-512" hashValue="6xyQr10kMFDzqdtxmw0Q9oP/urNIsRo4ysTqGz5cNkjbizyr0ycKQTndyerFUsFAbg4W3hDDxOoUN2WCnlCUbw==" saltValue="YO+L8l96659Z75z88S8WJQ=="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28"/>
  <sheetViews>
    <sheetView showGridLines="0" showRowColHeaders="0" zoomScaleNormal="100" workbookViewId="0">
      <selection activeCell="G11" sqref="G11"/>
    </sheetView>
  </sheetViews>
  <sheetFormatPr baseColWidth="10" defaultRowHeight="14.5" x14ac:dyDescent="0.35"/>
  <cols>
    <col min="1" max="1" width="2.453125" style="80" customWidth="1"/>
    <col min="2" max="2" width="23.26953125" style="80" customWidth="1"/>
    <col min="3" max="3" width="20.453125" style="80" customWidth="1"/>
    <col min="4" max="12" width="10.90625" style="80"/>
    <col min="13" max="13" width="11.453125" style="80" customWidth="1"/>
    <col min="14" max="16384" width="10.90625" style="80"/>
  </cols>
  <sheetData>
    <row r="1" spans="2:13" ht="9" customHeight="1" x14ac:dyDescent="0.35"/>
    <row r="2" spans="2:13" x14ac:dyDescent="0.35">
      <c r="B2" s="138" t="s">
        <v>67</v>
      </c>
      <c r="C2" s="138"/>
    </row>
    <row r="3" spans="2:13" ht="28" customHeight="1" x14ac:dyDescent="0.35">
      <c r="B3" s="137" t="s">
        <v>80</v>
      </c>
      <c r="C3" s="137"/>
      <c r="D3" s="137"/>
      <c r="E3" s="137"/>
      <c r="F3" s="137"/>
      <c r="G3" s="137"/>
      <c r="H3" s="137"/>
      <c r="I3" s="137"/>
      <c r="J3" s="137"/>
      <c r="K3" s="137"/>
      <c r="L3" s="137"/>
      <c r="M3" s="137"/>
    </row>
    <row r="4" spans="2:13" ht="22.5" customHeight="1" x14ac:dyDescent="0.35">
      <c r="B4" s="137"/>
      <c r="C4" s="137"/>
      <c r="D4" s="137"/>
      <c r="E4" s="137"/>
      <c r="F4" s="137"/>
      <c r="G4" s="137"/>
      <c r="H4" s="137"/>
      <c r="I4" s="137"/>
      <c r="J4" s="137"/>
      <c r="K4" s="137"/>
      <c r="L4" s="137"/>
      <c r="M4" s="137"/>
    </row>
    <row r="6" spans="2:13" x14ac:dyDescent="0.35">
      <c r="B6" s="88" t="s">
        <v>43</v>
      </c>
      <c r="C6" s="101" t="s">
        <v>68</v>
      </c>
    </row>
    <row r="7" spans="2:13" x14ac:dyDescent="0.35">
      <c r="B7" s="88" t="s">
        <v>40</v>
      </c>
      <c r="C7" s="101" t="s">
        <v>79</v>
      </c>
    </row>
    <row r="8" spans="2:13" x14ac:dyDescent="0.35">
      <c r="B8" s="88" t="s">
        <v>41</v>
      </c>
      <c r="C8" s="101" t="s">
        <v>44</v>
      </c>
    </row>
    <row r="9" spans="2:13" x14ac:dyDescent="0.35">
      <c r="B9" s="88" t="s">
        <v>42</v>
      </c>
      <c r="C9" s="89">
        <v>25000</v>
      </c>
    </row>
    <row r="10" spans="2:13" x14ac:dyDescent="0.35">
      <c r="B10" s="88" t="s">
        <v>91</v>
      </c>
      <c r="C10" s="118" t="s">
        <v>92</v>
      </c>
    </row>
    <row r="11" spans="2:13" x14ac:dyDescent="0.35">
      <c r="B11" s="88" t="s">
        <v>66</v>
      </c>
      <c r="C11" s="118" t="s">
        <v>69</v>
      </c>
    </row>
    <row r="12" spans="2:13" x14ac:dyDescent="0.35">
      <c r="B12" s="88" t="s">
        <v>59</v>
      </c>
      <c r="C12" s="107">
        <v>0</v>
      </c>
    </row>
    <row r="13" spans="2:13" x14ac:dyDescent="0.35">
      <c r="B13" s="88" t="s">
        <v>60</v>
      </c>
      <c r="C13" s="107">
        <v>1</v>
      </c>
    </row>
    <row r="14" spans="2:13" x14ac:dyDescent="0.35">
      <c r="B14" s="88" t="s">
        <v>54</v>
      </c>
      <c r="C14" s="107" t="s">
        <v>65</v>
      </c>
    </row>
    <row r="16" spans="2:13" ht="16" customHeight="1" x14ac:dyDescent="0.35">
      <c r="B16" s="139" t="s">
        <v>85</v>
      </c>
      <c r="C16" s="139"/>
      <c r="D16" s="139"/>
      <c r="E16" s="139"/>
      <c r="F16" s="139"/>
      <c r="G16" s="139"/>
      <c r="H16" s="139"/>
      <c r="I16" s="139"/>
      <c r="J16" s="139"/>
      <c r="K16" s="139"/>
      <c r="L16" s="139"/>
      <c r="M16" s="139"/>
    </row>
    <row r="17" spans="2:13" ht="16" customHeight="1" x14ac:dyDescent="0.35">
      <c r="B17" s="139"/>
      <c r="C17" s="139"/>
      <c r="D17" s="139"/>
      <c r="E17" s="139"/>
      <c r="F17" s="139"/>
      <c r="G17" s="139"/>
      <c r="H17" s="139"/>
      <c r="I17" s="139"/>
      <c r="J17" s="139"/>
      <c r="K17" s="139"/>
      <c r="L17" s="139"/>
      <c r="M17" s="139"/>
    </row>
    <row r="18" spans="2:13" ht="11.5" customHeight="1" x14ac:dyDescent="0.35">
      <c r="B18" s="141" t="s">
        <v>87</v>
      </c>
      <c r="C18" s="141"/>
      <c r="D18" s="141"/>
      <c r="E18" s="141"/>
      <c r="F18" s="141"/>
      <c r="G18" s="141"/>
      <c r="H18" s="141"/>
      <c r="I18" s="141"/>
      <c r="J18" s="141"/>
      <c r="K18" s="141"/>
      <c r="L18" s="141"/>
      <c r="M18" s="141"/>
    </row>
    <row r="19" spans="2:13" x14ac:dyDescent="0.35">
      <c r="B19" s="141"/>
      <c r="C19" s="141"/>
      <c r="D19" s="141"/>
      <c r="E19" s="141"/>
      <c r="F19" s="141"/>
      <c r="G19" s="141"/>
      <c r="H19" s="141"/>
      <c r="I19" s="141"/>
      <c r="J19" s="141"/>
      <c r="K19" s="141"/>
      <c r="L19" s="141"/>
      <c r="M19" s="141"/>
    </row>
    <row r="20" spans="2:13" x14ac:dyDescent="0.35">
      <c r="B20" s="140" t="s">
        <v>82</v>
      </c>
      <c r="C20" s="140"/>
      <c r="D20" s="140"/>
      <c r="E20" s="140"/>
      <c r="F20" s="140"/>
      <c r="G20" s="140"/>
      <c r="H20" s="140"/>
      <c r="I20" s="140"/>
      <c r="J20" s="140"/>
      <c r="K20" s="140"/>
      <c r="L20" s="140"/>
      <c r="M20" s="140"/>
    </row>
    <row r="22" spans="2:13" x14ac:dyDescent="0.35">
      <c r="B22" s="124">
        <v>0</v>
      </c>
      <c r="C22" s="125">
        <v>44561</v>
      </c>
      <c r="D22" s="125">
        <v>44742</v>
      </c>
      <c r="E22" s="125">
        <v>44926</v>
      </c>
      <c r="F22" s="125">
        <v>45107</v>
      </c>
      <c r="G22" s="125">
        <v>45291</v>
      </c>
      <c r="H22" s="125">
        <v>45473</v>
      </c>
      <c r="I22" s="125">
        <v>45657</v>
      </c>
      <c r="J22" s="125">
        <v>45835</v>
      </c>
      <c r="K22" s="125">
        <v>46024</v>
      </c>
    </row>
    <row r="23" spans="2:13" ht="15" x14ac:dyDescent="0.4">
      <c r="B23" s="126" t="s">
        <v>97</v>
      </c>
      <c r="C23" s="127">
        <v>0.2415032038572219</v>
      </c>
      <c r="D23" s="127">
        <v>2.8919296073562001E-2</v>
      </c>
      <c r="E23" s="127">
        <v>1.4030190779793466E-2</v>
      </c>
      <c r="F23" s="127">
        <v>0.13337724861537198</v>
      </c>
      <c r="G23" s="127">
        <v>0.21703331949335708</v>
      </c>
      <c r="H23" s="127">
        <v>0.3561486864903875</v>
      </c>
      <c r="I23" s="127">
        <v>0.56155795698650013</v>
      </c>
      <c r="J23" s="127">
        <v>0.57283878684962186</v>
      </c>
      <c r="K23" s="127">
        <v>0.65749281979082286</v>
      </c>
      <c r="L23" s="132"/>
    </row>
    <row r="24" spans="2:13" ht="15" x14ac:dyDescent="0.4">
      <c r="B24" s="126" t="s">
        <v>95</v>
      </c>
      <c r="C24" s="127">
        <v>0.21819676423079365</v>
      </c>
      <c r="D24" s="127">
        <v>0.12091226889165534</v>
      </c>
      <c r="E24" s="127">
        <v>0.15911226889165533</v>
      </c>
      <c r="F24" s="127">
        <v>0.27581226889165533</v>
      </c>
      <c r="G24" s="127">
        <v>0.36338741139924419</v>
      </c>
      <c r="H24" s="127">
        <v>0.28874161462326675</v>
      </c>
      <c r="I24" s="127">
        <v>0.25022163047697699</v>
      </c>
      <c r="J24" s="127">
        <v>0.41945726442700604</v>
      </c>
      <c r="K24" s="127">
        <v>0.55148514880274702</v>
      </c>
      <c r="L24" s="132"/>
    </row>
    <row r="25" spans="2:13" ht="15" x14ac:dyDescent="0.4">
      <c r="B25" s="126" t="s">
        <v>93</v>
      </c>
      <c r="C25" s="127">
        <v>0.19016953026265757</v>
      </c>
      <c r="D25" s="127">
        <v>3.4242333495525717E-2</v>
      </c>
      <c r="E25" s="127">
        <v>0.11904233349552572</v>
      </c>
      <c r="F25" s="127">
        <v>0.16724233349552572</v>
      </c>
      <c r="G25" s="127">
        <v>0.26906342106686004</v>
      </c>
      <c r="H25" s="127">
        <v>0.31585435570853304</v>
      </c>
      <c r="I25" s="127">
        <v>0.40871625954889934</v>
      </c>
      <c r="J25" s="127">
        <v>0.44691996152958213</v>
      </c>
      <c r="K25" s="127">
        <v>0.54779751378722119</v>
      </c>
      <c r="L25" s="132"/>
    </row>
    <row r="26" spans="2:13" ht="15" x14ac:dyDescent="0.4">
      <c r="B26" s="126" t="s">
        <v>94</v>
      </c>
      <c r="C26" s="127">
        <v>0.20030099087333531</v>
      </c>
      <c r="D26" s="127">
        <v>-0.14545315411076726</v>
      </c>
      <c r="E26" s="127">
        <v>-0.19325315411076727</v>
      </c>
      <c r="F26" s="127">
        <v>8.674684588923276E-2</v>
      </c>
      <c r="G26" s="127">
        <v>0.17576279192695532</v>
      </c>
      <c r="H26" s="127">
        <v>0.34607672739985684</v>
      </c>
      <c r="I26" s="127">
        <v>0.43506589967170584</v>
      </c>
      <c r="J26" s="127">
        <v>0.59466999856477187</v>
      </c>
      <c r="K26" s="127">
        <v>0.71177855519013333</v>
      </c>
      <c r="L26" s="132"/>
    </row>
    <row r="27" spans="2:13" ht="15" x14ac:dyDescent="0.4">
      <c r="B27" s="126" t="s">
        <v>96</v>
      </c>
      <c r="C27" s="127">
        <v>0.25236208381831271</v>
      </c>
      <c r="D27" s="127">
        <v>2.9727830328572125E-2</v>
      </c>
      <c r="E27" s="127">
        <v>5.2527830328572125E-2</v>
      </c>
      <c r="F27" s="127">
        <v>0.20862783032857213</v>
      </c>
      <c r="G27" s="127">
        <v>0.28591681598993191</v>
      </c>
      <c r="H27" s="127">
        <v>0.42821368271083649</v>
      </c>
      <c r="I27" s="127">
        <v>0.51342213675170045</v>
      </c>
      <c r="J27" s="127">
        <v>0.56416191701446283</v>
      </c>
      <c r="K27" s="127">
        <v>0.6737145410460188</v>
      </c>
      <c r="L27" s="132"/>
    </row>
    <row r="28" spans="2:13" x14ac:dyDescent="0.35">
      <c r="B28" s="133"/>
      <c r="C28" s="133"/>
      <c r="D28" s="133"/>
      <c r="E28" s="133"/>
      <c r="F28" s="133"/>
      <c r="G28" s="133"/>
      <c r="H28" s="133"/>
      <c r="I28" s="133"/>
      <c r="J28" s="133"/>
      <c r="K28" s="133"/>
      <c r="L28" s="132"/>
    </row>
  </sheetData>
  <sheetProtection algorithmName="SHA-512" hashValue="wqDsIQWA2uR5gRldM6EKJ5ahHRIu/XTKDb1hOQPNJRVLC3i31QQKptWQNTuNF+XeysDkbPQ72OtUdVXTLHkVhA==" saltValue="NcOJiFVmLKWEbbNpKxoXkg==" spinCount="100000" sheet="1" objects="1" scenarios="1" formatRows="0"/>
  <mergeCells count="5">
    <mergeCell ref="B3:M4"/>
    <mergeCell ref="B2:C2"/>
    <mergeCell ref="B16:M17"/>
    <mergeCell ref="B20:M20"/>
    <mergeCell ref="B18:M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V57"/>
  <sheetViews>
    <sheetView showGridLines="0" showRowColHeaders="0" zoomScale="90" zoomScaleNormal="90" workbookViewId="0">
      <selection activeCell="B4" sqref="B4"/>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hidden="1" customWidth="1"/>
  </cols>
  <sheetData>
    <row r="1" spans="2:22" ht="10" customHeight="1" x14ac:dyDescent="0.35"/>
    <row r="2" spans="2:22" ht="15" customHeight="1" x14ac:dyDescent="0.4">
      <c r="B2" s="143" t="s">
        <v>0</v>
      </c>
      <c r="C2" s="143"/>
      <c r="D2" s="77">
        <f>'Último rebalanceo'!D2</f>
        <v>46024</v>
      </c>
      <c r="E2" s="15"/>
      <c r="F2" s="142" t="s">
        <v>45</v>
      </c>
      <c r="G2" s="142"/>
      <c r="H2" s="116">
        <f>'Último rebalanceo'!H2</f>
        <v>0</v>
      </c>
      <c r="U2" s="20"/>
    </row>
    <row r="3" spans="2:22" ht="15" x14ac:dyDescent="0.4">
      <c r="B3" s="151" t="s">
        <v>24</v>
      </c>
      <c r="C3" s="151"/>
      <c r="D3" s="66">
        <v>25000</v>
      </c>
      <c r="F3" s="92"/>
      <c r="G3" s="92"/>
      <c r="N3" s="28"/>
      <c r="U3" s="20"/>
    </row>
    <row r="4" spans="2:22" ht="15.5" thickBot="1" x14ac:dyDescent="0.45">
      <c r="B4" s="56"/>
      <c r="C4" s="56"/>
      <c r="N4" s="28"/>
      <c r="U4" s="20"/>
    </row>
    <row r="5" spans="2:22" ht="35.5" thickTop="1" thickBot="1" x14ac:dyDescent="0.5">
      <c r="B5" s="1" t="s">
        <v>1</v>
      </c>
      <c r="C5" s="1" t="s">
        <v>2</v>
      </c>
      <c r="D5" s="1" t="s">
        <v>3</v>
      </c>
      <c r="E5" s="129" t="s">
        <v>8</v>
      </c>
      <c r="F5" s="1" t="s">
        <v>4</v>
      </c>
      <c r="G5" s="2" t="s">
        <v>16</v>
      </c>
      <c r="H5" s="1" t="s">
        <v>9</v>
      </c>
      <c r="I5" s="129" t="s">
        <v>32</v>
      </c>
      <c r="J5" s="129" t="s">
        <v>100</v>
      </c>
      <c r="K5" s="2" t="s">
        <v>6</v>
      </c>
      <c r="M5" s="29"/>
      <c r="S5" s="97" t="s">
        <v>55</v>
      </c>
      <c r="T5" s="97" t="s">
        <v>56</v>
      </c>
      <c r="U5" s="97" t="s">
        <v>57</v>
      </c>
      <c r="V5" s="97" t="s">
        <v>58</v>
      </c>
    </row>
    <row r="6" spans="2:22" ht="16.5" thickTop="1" thickBot="1" x14ac:dyDescent="0.5">
      <c r="B6" s="3" t="str">
        <f>'Último rebalanceo'!B7</f>
        <v>NAFTRACISHRS</v>
      </c>
      <c r="C6" s="37" t="str">
        <f>'Último rebalanceo'!C7</f>
        <v>iShares NAFTRAC</v>
      </c>
      <c r="D6" s="112">
        <f>VLOOKUP(B6,'Último rebalanceo'!$B$7:$K$10,10,0)</f>
        <v>187</v>
      </c>
      <c r="E6" s="4">
        <f>VLOOKUP(B6,'Último rebalanceo'!$B$7:$L$10,11,0)</f>
        <v>50.688235294117646</v>
      </c>
      <c r="F6" s="5">
        <f>D6*E6</f>
        <v>9478.7000000000007</v>
      </c>
      <c r="G6" s="5">
        <f>VLOOKUP(B6,'Último rebalanceo'!$B$7:$H$10,7,0)</f>
        <v>64</v>
      </c>
      <c r="H6" s="5">
        <f>D6*G6</f>
        <v>11968</v>
      </c>
      <c r="I6" s="5">
        <v>1085.760763</v>
      </c>
      <c r="J6" s="6">
        <f>(H6+I6)/F6-1</f>
        <v>0.37716783556816846</v>
      </c>
      <c r="K6" s="6">
        <f>H6/$H$12</f>
        <v>0.24804819341084719</v>
      </c>
      <c r="L6" s="9"/>
      <c r="M6" s="8"/>
      <c r="N6" s="9"/>
      <c r="O6" s="9"/>
      <c r="S6" s="98" t="s">
        <v>51</v>
      </c>
      <c r="T6" s="99" t="e">
        <f>SUMIF(#REF!,S6,$K$6:$K$10)</f>
        <v>#REF!</v>
      </c>
      <c r="U6" s="99" t="e">
        <f>SUMIF(#REF!,$S6,$K$23:$K$27)</f>
        <v>#REF!</v>
      </c>
      <c r="V6" s="99" t="e">
        <f>SUMIF(#REF!,$S6,$I$39:$I$43)</f>
        <v>#REF!</v>
      </c>
    </row>
    <row r="7" spans="2:22" ht="16.5" thickTop="1" thickBot="1" x14ac:dyDescent="0.5">
      <c r="B7" s="3" t="str">
        <f>'Último rebalanceo'!B8</f>
        <v>DIA</v>
      </c>
      <c r="C7" s="37" t="str">
        <f>'Último rebalanceo'!C8</f>
        <v>SPDR Dow Jones Industrial Average ETF Trust</v>
      </c>
      <c r="D7" s="71">
        <f>VLOOKUP(B7,'Último rebalanceo'!$B$7:$K$10,10,0)</f>
        <v>1.3821123621446121</v>
      </c>
      <c r="E7" s="4">
        <f>VLOOKUP(B7,'Último rebalanceo'!$B$7:$L$10,11,0)</f>
        <v>8640.0720476806637</v>
      </c>
      <c r="F7" s="5">
        <f>D7*E7</f>
        <v>11941.550386919558</v>
      </c>
      <c r="G7" s="5">
        <f>VLOOKUP(B7,'Último rebalanceo'!$B$7:$H$10,7,0)</f>
        <v>8640.0720476806637</v>
      </c>
      <c r="H7" s="5">
        <f>D7*G7</f>
        <v>11941.550386919558</v>
      </c>
      <c r="I7" s="5">
        <v>895.20665799999995</v>
      </c>
      <c r="J7" s="6">
        <f t="shared" ref="J7:J9" si="0">(H7+I7)/F7-1</f>
        <v>7.4965697836068657E-2</v>
      </c>
      <c r="K7" s="6">
        <f>H7/$H$12</f>
        <v>0.24749999999999997</v>
      </c>
      <c r="L7" s="9"/>
      <c r="M7" s="8"/>
      <c r="N7" s="9"/>
      <c r="O7" s="9"/>
      <c r="S7" s="98" t="s">
        <v>52</v>
      </c>
      <c r="T7" s="99" t="e">
        <f>SUMIF(#REF!,S7,$K$6:$K$10)</f>
        <v>#REF!</v>
      </c>
      <c r="U7" s="99" t="e">
        <f>SUMIF(#REF!,$S7,$K$23:$K$27)</f>
        <v>#REF!</v>
      </c>
      <c r="V7" s="99" t="e">
        <f>SUMIF(#REF!,$S7,$I$39:$I$43)</f>
        <v>#REF!</v>
      </c>
    </row>
    <row r="8" spans="2:22" ht="16.5" thickTop="1" thickBot="1" x14ac:dyDescent="0.5">
      <c r="B8" s="3" t="str">
        <f>'Último rebalanceo'!B9</f>
        <v>QQQ</v>
      </c>
      <c r="C8" s="37" t="str">
        <f>'Último rebalanceo'!C9</f>
        <v>Invesco QQQ Trust</v>
      </c>
      <c r="D8" s="71">
        <f>VLOOKUP(B8,'Último rebalanceo'!$B$7:$K$10,10,0)</f>
        <v>1.0812159180843821</v>
      </c>
      <c r="E8" s="4">
        <f>VLOOKUP(B8,'Último rebalanceo'!$B$7:$L$10,11,0)</f>
        <v>7379.0042062936227</v>
      </c>
      <c r="F8" s="5">
        <f>D8*E8</f>
        <v>7978.2968074562768</v>
      </c>
      <c r="G8" s="5">
        <f>VLOOKUP(B8,'Último rebalanceo'!$B$7:$H$10,7,0)</f>
        <v>11044.556584106445</v>
      </c>
      <c r="H8" s="5">
        <f>D8*G8</f>
        <v>11941.550386919558</v>
      </c>
      <c r="I8" s="5">
        <v>933.64352150814545</v>
      </c>
      <c r="J8" s="6">
        <f t="shared" si="0"/>
        <v>0.61377725336000699</v>
      </c>
      <c r="K8" s="6">
        <f>H8/$H$12</f>
        <v>0.24749999999999997</v>
      </c>
      <c r="L8" s="9"/>
      <c r="M8" s="8"/>
      <c r="N8" s="9"/>
      <c r="O8" s="9"/>
      <c r="S8" s="98" t="s">
        <v>61</v>
      </c>
      <c r="T8" s="99" t="e">
        <f>SUMIF(#REF!,S8,$K$6:$K$10)</f>
        <v>#REF!</v>
      </c>
      <c r="U8" s="99" t="e">
        <f>SUMIF(#REF!,$S8,$K$23:$K$27)</f>
        <v>#REF!</v>
      </c>
      <c r="V8" s="99" t="e">
        <f>SUMIF(#REF!,$S8,$I$39:$I$43)</f>
        <v>#REF!</v>
      </c>
    </row>
    <row r="9" spans="2:22" ht="16.5" thickTop="1" thickBot="1" x14ac:dyDescent="0.5">
      <c r="B9" s="3" t="str">
        <f>'Último rebalanceo'!B10</f>
        <v>VOO</v>
      </c>
      <c r="C9" s="37" t="str">
        <f>'Último rebalanceo'!C10</f>
        <v>Vanguard S&amp;P 500 ETF</v>
      </c>
      <c r="D9" s="71">
        <f>VLOOKUP(B9,'Último rebalanceo'!$B$7:$K$10,10,0)</f>
        <v>1.0591133302940023</v>
      </c>
      <c r="E9" s="4">
        <f>VLOOKUP(B9,'Último rebalanceo'!$B$7:$L$10,11,0)</f>
        <v>8501.5157173722164</v>
      </c>
      <c r="F9" s="5">
        <f>D9*E9</f>
        <v>9004.068623972893</v>
      </c>
      <c r="G9" s="5">
        <f>VLOOKUP(B9,'Último rebalanceo'!$B$7:$H$10,7,0)</f>
        <v>11275.04493178711</v>
      </c>
      <c r="H9" s="5">
        <f>D9*G9</f>
        <v>11941.550386919558</v>
      </c>
      <c r="I9" s="5">
        <v>1028.0925833744561</v>
      </c>
      <c r="J9" s="6">
        <f t="shared" si="0"/>
        <v>0.44042027131634409</v>
      </c>
      <c r="K9" s="6">
        <f>H9/$H$12</f>
        <v>0.24749999999999997</v>
      </c>
      <c r="L9" s="9"/>
      <c r="M9" s="8"/>
      <c r="N9" s="9"/>
      <c r="O9" s="9"/>
      <c r="S9" s="98" t="s">
        <v>53</v>
      </c>
      <c r="T9" s="99" t="e">
        <f>SUMIF(#REF!,S9,$K$6:$K$10)</f>
        <v>#REF!</v>
      </c>
      <c r="U9" s="99" t="e">
        <f>SUMIF(#REF!,$S9,$K$23:$K$27)</f>
        <v>#REF!</v>
      </c>
      <c r="V9" s="99" t="e">
        <f>SUMIF(#REF!,$S9,$I$39:$I$43)</f>
        <v>#REF!</v>
      </c>
    </row>
    <row r="10" spans="2:22" ht="15.5" thickTop="1" thickBot="1" x14ac:dyDescent="0.4">
      <c r="B10" s="3" t="s">
        <v>7</v>
      </c>
      <c r="C10" s="3"/>
      <c r="D10" s="71">
        <f>'Último rebalanceo'!K11</f>
        <v>456.03727123953763</v>
      </c>
      <c r="E10" s="4"/>
      <c r="F10" s="5"/>
      <c r="G10" s="5"/>
      <c r="H10" s="5">
        <f>D10</f>
        <v>456.03727123953763</v>
      </c>
      <c r="I10" s="14">
        <f>SUM(I6:I9)/D3</f>
        <v>0.15770814103530406</v>
      </c>
      <c r="J10" s="6"/>
      <c r="K10" s="6">
        <f>H10/$H$12</f>
        <v>9.451806589152725E-3</v>
      </c>
    </row>
    <row r="11" spans="2:22" ht="15.5" thickTop="1" thickBot="1" x14ac:dyDescent="0.4">
      <c r="D11" s="27"/>
    </row>
    <row r="12" spans="2:22" ht="15.5" thickTop="1" thickBot="1" x14ac:dyDescent="0.4">
      <c r="B12" s="10" t="s">
        <v>10</v>
      </c>
      <c r="C12" s="10"/>
      <c r="D12" s="10"/>
      <c r="E12" s="10"/>
      <c r="F12" s="11"/>
      <c r="G12" s="11"/>
      <c r="H12" s="11">
        <f>SUM(H6:H10)</f>
        <v>48248.68843199822</v>
      </c>
      <c r="I12" s="114" t="s">
        <v>64</v>
      </c>
      <c r="J12" s="14">
        <f>H12/D3-1</f>
        <v>0.92994753727992885</v>
      </c>
      <c r="K12" s="12">
        <f>SUM(K6:K10)</f>
        <v>0.99999999999999978</v>
      </c>
      <c r="L12" s="19"/>
      <c r="M12" s="19"/>
      <c r="N12" s="19"/>
      <c r="O12" s="19"/>
    </row>
    <row r="13" spans="2:22" ht="15.5" thickTop="1" thickBot="1" x14ac:dyDescent="0.4">
      <c r="B13" s="51"/>
      <c r="C13" s="51"/>
      <c r="D13" s="51"/>
      <c r="E13" s="51"/>
      <c r="F13" s="52"/>
      <c r="G13" s="52"/>
      <c r="H13" s="52"/>
      <c r="I13" s="115" t="s">
        <v>63</v>
      </c>
      <c r="J13" s="14">
        <f>LN(H12/D3)</f>
        <v>0.65749281979082286</v>
      </c>
      <c r="K13" s="75"/>
      <c r="L13" s="19"/>
      <c r="M13" s="19"/>
      <c r="N13" s="19"/>
      <c r="O13" s="19"/>
    </row>
    <row r="14" spans="2:22" ht="15.5" thickTop="1" thickBot="1" x14ac:dyDescent="0.4">
      <c r="B14" s="51"/>
      <c r="C14" s="51"/>
      <c r="D14" s="51"/>
      <c r="E14" s="51"/>
      <c r="F14" s="52"/>
      <c r="G14" s="52"/>
      <c r="H14" s="152" t="s">
        <v>86</v>
      </c>
      <c r="I14" s="153"/>
      <c r="J14" s="14">
        <v>0.55838986739380958</v>
      </c>
      <c r="K14" s="75"/>
      <c r="L14" s="19"/>
      <c r="M14" s="19"/>
      <c r="N14" s="19"/>
      <c r="O14" s="19"/>
    </row>
    <row r="15" spans="2:22" ht="17.5" thickTop="1" x14ac:dyDescent="0.45">
      <c r="B15" s="146" t="s">
        <v>30</v>
      </c>
      <c r="C15" s="146"/>
      <c r="M15" s="19"/>
      <c r="N15" s="19"/>
      <c r="O15" s="19"/>
    </row>
    <row r="16" spans="2:22" ht="15" hidden="1" outlineLevel="1" x14ac:dyDescent="0.4">
      <c r="B16" s="145" t="s">
        <v>24</v>
      </c>
      <c r="C16" s="145"/>
      <c r="D16" s="79">
        <v>25000</v>
      </c>
      <c r="E16" s="16"/>
      <c r="M16" s="19"/>
      <c r="N16" s="19"/>
      <c r="O16" s="19"/>
    </row>
    <row r="17" spans="2:16" ht="15" hidden="1" outlineLevel="1" x14ac:dyDescent="0.4">
      <c r="B17" s="145" t="s">
        <v>31</v>
      </c>
      <c r="C17" s="145"/>
      <c r="D17" s="131">
        <v>0</v>
      </c>
      <c r="E17" s="76"/>
      <c r="F17" s="76"/>
      <c r="G17" s="76"/>
      <c r="H17" s="76"/>
      <c r="I17" s="76"/>
      <c r="J17" s="76"/>
      <c r="K17" s="76"/>
      <c r="M17" s="19"/>
      <c r="N17" s="19"/>
      <c r="O17" s="19"/>
    </row>
    <row r="18" spans="2:16" ht="15" hidden="1" customHeight="1" outlineLevel="1" x14ac:dyDescent="0.35">
      <c r="B18" s="149" t="s">
        <v>46</v>
      </c>
      <c r="C18" s="149"/>
      <c r="D18" s="149"/>
      <c r="E18" s="149"/>
      <c r="F18" s="149"/>
      <c r="G18" s="149"/>
      <c r="H18" s="149"/>
      <c r="I18" s="149"/>
      <c r="J18" s="149"/>
      <c r="K18" s="149"/>
      <c r="M18" s="19"/>
      <c r="N18" s="19"/>
      <c r="O18" s="19"/>
    </row>
    <row r="19" spans="2:16" ht="15" hidden="1" customHeight="1" outlineLevel="1" x14ac:dyDescent="0.35">
      <c r="B19" s="149"/>
      <c r="C19" s="149"/>
      <c r="D19" s="149"/>
      <c r="E19" s="149"/>
      <c r="F19" s="149"/>
      <c r="G19" s="149"/>
      <c r="H19" s="149"/>
      <c r="I19" s="149"/>
      <c r="J19" s="149"/>
      <c r="K19" s="149"/>
      <c r="M19" s="19"/>
      <c r="N19" s="19"/>
      <c r="O19" s="19"/>
    </row>
    <row r="20" spans="2:16" ht="15" hidden="1" customHeight="1" outlineLevel="1" x14ac:dyDescent="0.4">
      <c r="B20" s="96"/>
      <c r="C20" s="96"/>
      <c r="D20" s="96"/>
      <c r="E20" s="96"/>
      <c r="F20" s="96"/>
      <c r="G20" s="96"/>
      <c r="H20" s="96"/>
      <c r="I20" s="96"/>
      <c r="J20" s="96"/>
      <c r="K20" s="96"/>
      <c r="M20" s="19"/>
      <c r="N20" s="19"/>
      <c r="O20" s="19"/>
    </row>
    <row r="21" spans="2:16" ht="16.5" hidden="1" outlineLevel="1" thickBot="1" x14ac:dyDescent="0.5">
      <c r="B21" s="144" t="s">
        <v>12</v>
      </c>
      <c r="C21" s="144"/>
      <c r="M21" s="19"/>
      <c r="N21" s="19"/>
      <c r="O21" s="19"/>
    </row>
    <row r="22" spans="2:16" ht="36" hidden="1" outlineLevel="1" thickTop="1" thickBot="1" x14ac:dyDescent="0.4">
      <c r="B22" s="17" t="s">
        <v>1</v>
      </c>
      <c r="C22" s="17" t="s">
        <v>2</v>
      </c>
      <c r="D22" s="17" t="s">
        <v>3</v>
      </c>
      <c r="E22" s="18" t="s">
        <v>8</v>
      </c>
      <c r="F22" s="17" t="s">
        <v>4</v>
      </c>
      <c r="G22" s="18" t="s">
        <v>16</v>
      </c>
      <c r="H22" s="17" t="s">
        <v>9</v>
      </c>
      <c r="I22" s="18" t="s">
        <v>32</v>
      </c>
      <c r="J22" s="18" t="s">
        <v>11</v>
      </c>
      <c r="K22" s="18" t="s">
        <v>5</v>
      </c>
      <c r="L22" s="2" t="s">
        <v>6</v>
      </c>
      <c r="M22" s="73" t="s">
        <v>27</v>
      </c>
      <c r="N22" s="21"/>
      <c r="O22" s="19"/>
    </row>
    <row r="23" spans="2:16" ht="15.5" hidden="1" outlineLevel="1" thickTop="1" thickBot="1" x14ac:dyDescent="0.4">
      <c r="B23" s="3" t="str">
        <f>B6</f>
        <v>NAFTRACISHRS</v>
      </c>
      <c r="C23" s="3" t="str">
        <f>C6</f>
        <v>iShares NAFTRAC</v>
      </c>
      <c r="D23" s="71" t="e">
        <f>VLOOKUP(B23,'Último rebalanceo'!$B$29:$K$32,10,0)</f>
        <v>#DIV/0!</v>
      </c>
      <c r="E23" s="71" t="e">
        <f>VLOOKUP(B23,'Último rebalanceo'!$B$29:$L$32,11,0)</f>
        <v>#DIV/0!</v>
      </c>
      <c r="F23" s="5" t="e">
        <f>D23*E23</f>
        <v>#DIV/0!</v>
      </c>
      <c r="G23" s="5">
        <f>G6</f>
        <v>64</v>
      </c>
      <c r="H23" s="5" t="e">
        <f>D23*G23</f>
        <v>#DIV/0!</v>
      </c>
      <c r="I23" s="78">
        <v>0</v>
      </c>
      <c r="J23" s="6" t="e">
        <f>(H23+I23)/F23-1</f>
        <v>#DIV/0!</v>
      </c>
      <c r="K23" s="6" t="e">
        <f>H23/$H$29</f>
        <v>#DIV/0!</v>
      </c>
      <c r="L23" s="6">
        <f>K6</f>
        <v>0.24804819341084719</v>
      </c>
      <c r="M23" s="22" t="e">
        <f>K23-L23</f>
        <v>#DIV/0!</v>
      </c>
      <c r="N23" s="21"/>
      <c r="O23" s="19"/>
    </row>
    <row r="24" spans="2:16" ht="15.5" hidden="1" outlineLevel="1" thickTop="1" thickBot="1" x14ac:dyDescent="0.4">
      <c r="B24" s="3" t="str">
        <f t="shared" ref="B24:C24" si="1">B7</f>
        <v>DIA</v>
      </c>
      <c r="C24" s="3" t="str">
        <f t="shared" si="1"/>
        <v>SPDR Dow Jones Industrial Average ETF Trust</v>
      </c>
      <c r="D24" s="71" t="e">
        <f>VLOOKUP(B24,'Último rebalanceo'!$B$29:$K$32,10,0)</f>
        <v>#DIV/0!</v>
      </c>
      <c r="E24" s="71" t="e">
        <f>VLOOKUP(B24,'Último rebalanceo'!$B$29:$L$32,11,0)</f>
        <v>#DIV/0!</v>
      </c>
      <c r="F24" s="5" t="e">
        <f>D24*E24</f>
        <v>#DIV/0!</v>
      </c>
      <c r="G24" s="5">
        <f>G7</f>
        <v>8640.0720476806637</v>
      </c>
      <c r="H24" s="5" t="e">
        <f>D24*G24</f>
        <v>#DIV/0!</v>
      </c>
      <c r="I24" s="78">
        <v>0</v>
      </c>
      <c r="J24" s="6" t="e">
        <f t="shared" ref="J24:J26" si="2">(H24+I24)/F24-1</f>
        <v>#DIV/0!</v>
      </c>
      <c r="K24" s="6" t="e">
        <f>H24/$H$29</f>
        <v>#DIV/0!</v>
      </c>
      <c r="L24" s="6">
        <f>K7</f>
        <v>0.24749999999999997</v>
      </c>
      <c r="M24" s="22" t="e">
        <f t="shared" ref="M24:M27" si="3">K24-L24</f>
        <v>#DIV/0!</v>
      </c>
      <c r="N24" s="21"/>
      <c r="O24" s="19"/>
    </row>
    <row r="25" spans="2:16" ht="15.5" hidden="1" outlineLevel="1" thickTop="1" thickBot="1" x14ac:dyDescent="0.4">
      <c r="B25" s="3" t="str">
        <f t="shared" ref="B25:C25" si="4">B8</f>
        <v>QQQ</v>
      </c>
      <c r="C25" s="3" t="str">
        <f t="shared" si="4"/>
        <v>Invesco QQQ Trust</v>
      </c>
      <c r="D25" s="71" t="e">
        <f>VLOOKUP(B25,'Último rebalanceo'!$B$29:$K$32,10,0)</f>
        <v>#DIV/0!</v>
      </c>
      <c r="E25" s="71" t="e">
        <f>VLOOKUP(B25,'Último rebalanceo'!$B$29:$L$32,11,0)</f>
        <v>#DIV/0!</v>
      </c>
      <c r="F25" s="5" t="e">
        <f>D25*E25</f>
        <v>#DIV/0!</v>
      </c>
      <c r="G25" s="5">
        <f>G8</f>
        <v>11044.556584106445</v>
      </c>
      <c r="H25" s="5" t="e">
        <f>D25*G25</f>
        <v>#DIV/0!</v>
      </c>
      <c r="I25" s="78">
        <v>0</v>
      </c>
      <c r="J25" s="6" t="e">
        <f t="shared" si="2"/>
        <v>#DIV/0!</v>
      </c>
      <c r="K25" s="6" t="e">
        <f>H25/$H$29</f>
        <v>#DIV/0!</v>
      </c>
      <c r="L25" s="6">
        <f>K8</f>
        <v>0.24749999999999997</v>
      </c>
      <c r="M25" s="22" t="e">
        <f t="shared" si="3"/>
        <v>#DIV/0!</v>
      </c>
      <c r="N25" s="21"/>
      <c r="O25" s="19"/>
    </row>
    <row r="26" spans="2:16" ht="15.5" hidden="1" outlineLevel="1" thickTop="1" thickBot="1" x14ac:dyDescent="0.4">
      <c r="B26" s="3" t="str">
        <f t="shared" ref="B26:C26" si="5">B9</f>
        <v>VOO</v>
      </c>
      <c r="C26" s="3" t="str">
        <f t="shared" si="5"/>
        <v>Vanguard S&amp;P 500 ETF</v>
      </c>
      <c r="D26" s="71" t="e">
        <f>VLOOKUP(B26,'Último rebalanceo'!$B$29:$K$32,10,0)</f>
        <v>#DIV/0!</v>
      </c>
      <c r="E26" s="71" t="e">
        <f>VLOOKUP(B26,'Último rebalanceo'!$B$29:$L$32,11,0)</f>
        <v>#DIV/0!</v>
      </c>
      <c r="F26" s="5" t="e">
        <f>D26*E26</f>
        <v>#DIV/0!</v>
      </c>
      <c r="G26" s="5">
        <f>G9</f>
        <v>11275.04493178711</v>
      </c>
      <c r="H26" s="5" t="e">
        <f>D26*G26</f>
        <v>#DIV/0!</v>
      </c>
      <c r="I26" s="78">
        <v>0</v>
      </c>
      <c r="J26" s="6" t="e">
        <f t="shared" si="2"/>
        <v>#DIV/0!</v>
      </c>
      <c r="K26" s="6" t="e">
        <f>H26/$H$29</f>
        <v>#DIV/0!</v>
      </c>
      <c r="L26" s="6">
        <f>K9</f>
        <v>0.24749999999999997</v>
      </c>
      <c r="M26" s="22" t="e">
        <f t="shared" si="3"/>
        <v>#DIV/0!</v>
      </c>
      <c r="N26" s="21"/>
      <c r="O26" s="19"/>
    </row>
    <row r="27" spans="2:16" ht="15.5" hidden="1" outlineLevel="1" thickTop="1" thickBot="1" x14ac:dyDescent="0.4">
      <c r="B27" s="3" t="s">
        <v>7</v>
      </c>
      <c r="C27" s="3"/>
      <c r="D27" s="71" t="e">
        <f>'Último rebalanceo'!K33</f>
        <v>#DIV/0!</v>
      </c>
      <c r="E27" s="71"/>
      <c r="F27" s="5"/>
      <c r="G27" s="5"/>
      <c r="H27" s="5" t="e">
        <f>D27</f>
        <v>#DIV/0!</v>
      </c>
      <c r="I27" s="5"/>
      <c r="J27" s="6"/>
      <c r="K27" s="6" t="e">
        <f>H27/$H$29</f>
        <v>#DIV/0!</v>
      </c>
      <c r="L27" s="6">
        <f>K10</f>
        <v>9.451806589152725E-3</v>
      </c>
      <c r="M27" s="22" t="e">
        <f t="shared" si="3"/>
        <v>#DIV/0!</v>
      </c>
      <c r="N27" s="21"/>
      <c r="O27" s="19"/>
    </row>
    <row r="28" spans="2:16" ht="15.5" hidden="1" customHeight="1" outlineLevel="1" thickTop="1" thickBot="1" x14ac:dyDescent="0.4">
      <c r="M28" s="23"/>
      <c r="N28" s="21"/>
      <c r="O28" s="19"/>
    </row>
    <row r="29" spans="2:16" ht="15.5" hidden="1" outlineLevel="1" thickTop="1" thickBot="1" x14ac:dyDescent="0.4">
      <c r="B29" s="10" t="s">
        <v>10</v>
      </c>
      <c r="C29" s="10"/>
      <c r="D29" s="10"/>
      <c r="E29" s="10"/>
      <c r="F29" s="11"/>
      <c r="G29" s="11"/>
      <c r="H29" s="11" t="e">
        <f>SUM(H23:H27)</f>
        <v>#DIV/0!</v>
      </c>
      <c r="I29" s="11">
        <f>SUM(I23:I27)</f>
        <v>0</v>
      </c>
      <c r="J29" s="14" t="e">
        <f>H29/(D16+D17)-1</f>
        <v>#DIV/0!</v>
      </c>
      <c r="K29" s="12" t="e">
        <f>SUM(K23:K27)</f>
        <v>#DIV/0!</v>
      </c>
      <c r="L29" s="12">
        <f>SUM(L23:L27)</f>
        <v>0.99999999999999978</v>
      </c>
      <c r="M29" s="13" t="e">
        <f t="array" ref="M29">SUM(ABS(M23:M27))</f>
        <v>#DIV/0!</v>
      </c>
      <c r="N29" s="25" t="e">
        <f>IF(M29&lt;0.1,"Excelente",IF(AND(M29&lt;=0.2,M29&gt;=0.1),"Buena",IF(AND(M29&lt;=0.35,M29&gt;0.2),"Regular","Mala")))</f>
        <v>#DIV/0!</v>
      </c>
      <c r="O29" s="19"/>
    </row>
    <row r="30" spans="2:16" ht="23.5" hidden="1" customHeight="1" outlineLevel="1" thickTop="1" thickBot="1" x14ac:dyDescent="0.4">
      <c r="M30" s="147" t="s">
        <v>14</v>
      </c>
      <c r="N30" s="148"/>
      <c r="O30" s="19"/>
    </row>
    <row r="31" spans="2:16" ht="15" hidden="1" outlineLevel="1" thickTop="1" x14ac:dyDescent="0.35">
      <c r="F31" s="28"/>
      <c r="H31" s="28"/>
      <c r="P31" s="9"/>
    </row>
    <row r="32" spans="2:16" collapsed="1" x14ac:dyDescent="0.35">
      <c r="P32" s="19"/>
    </row>
    <row r="33" spans="2:15" ht="17" x14ac:dyDescent="0.45">
      <c r="B33" s="146" t="s">
        <v>28</v>
      </c>
      <c r="C33" s="146"/>
      <c r="H33" s="113"/>
    </row>
    <row r="34" spans="2:15" ht="15" hidden="1" outlineLevel="1" x14ac:dyDescent="0.4">
      <c r="B34" s="145" t="s">
        <v>13</v>
      </c>
      <c r="C34" s="145"/>
      <c r="D34" s="79">
        <v>15000</v>
      </c>
      <c r="E34" s="16"/>
      <c r="G34" s="113"/>
    </row>
    <row r="35" spans="2:15" ht="15" hidden="1" outlineLevel="1" x14ac:dyDescent="0.4">
      <c r="B35" s="150" t="s">
        <v>15</v>
      </c>
      <c r="C35" s="150"/>
      <c r="D35" s="150"/>
      <c r="E35" s="150"/>
      <c r="F35" s="150"/>
      <c r="G35" s="150"/>
      <c r="H35" s="150"/>
      <c r="I35" s="150"/>
      <c r="J35" s="150"/>
      <c r="K35" s="150"/>
    </row>
    <row r="36" spans="2:15" ht="15" hidden="1" outlineLevel="1" x14ac:dyDescent="0.4">
      <c r="B36" s="26"/>
      <c r="C36" s="26"/>
      <c r="D36" s="26"/>
      <c r="E36" s="26"/>
      <c r="F36" s="26"/>
      <c r="G36" s="26"/>
      <c r="H36" s="26"/>
      <c r="I36" s="26"/>
      <c r="J36" s="26"/>
    </row>
    <row r="37" spans="2:15" ht="16.5" hidden="1" outlineLevel="1" thickBot="1" x14ac:dyDescent="0.5">
      <c r="B37" s="144" t="s">
        <v>12</v>
      </c>
      <c r="C37" s="144"/>
    </row>
    <row r="38" spans="2:15" ht="36" hidden="1" outlineLevel="1" thickTop="1" thickBot="1" x14ac:dyDescent="0.4">
      <c r="B38" s="17" t="s">
        <v>1</v>
      </c>
      <c r="C38" s="17" t="s">
        <v>2</v>
      </c>
      <c r="D38" s="17" t="s">
        <v>3</v>
      </c>
      <c r="E38" s="18" t="s">
        <v>8</v>
      </c>
      <c r="F38" s="17" t="s">
        <v>4</v>
      </c>
      <c r="G38" s="18" t="s">
        <v>16</v>
      </c>
      <c r="H38" s="17" t="s">
        <v>9</v>
      </c>
      <c r="I38" s="18" t="s">
        <v>5</v>
      </c>
      <c r="J38" s="2" t="s">
        <v>6</v>
      </c>
      <c r="K38" s="73" t="s">
        <v>27</v>
      </c>
      <c r="L38" s="21"/>
      <c r="M38" s="21"/>
      <c r="N38" s="21"/>
      <c r="O38" s="21"/>
    </row>
    <row r="39" spans="2:15" ht="15.5" hidden="1" outlineLevel="1" thickTop="1" thickBot="1" x14ac:dyDescent="0.4">
      <c r="B39" s="3" t="str">
        <f>B6</f>
        <v>NAFTRACISHRS</v>
      </c>
      <c r="C39" s="3" t="str">
        <f>C6</f>
        <v>iShares NAFTRAC</v>
      </c>
      <c r="D39" s="3">
        <f t="array" ref="D39">IF(SUMPRODUCT(ROUND($K$6*$D$34/$E$39,0),$E$39)&gt;$D$34,ROUND($D$34*($D$34/SUMPRODUCT(ROUND($K$6*$D$34/$E$39,0),$E$39))*K6/E39,0),ROUND($D$34*K6/E39,0))</f>
        <v>58</v>
      </c>
      <c r="E39" s="78">
        <f>G6</f>
        <v>64</v>
      </c>
      <c r="F39" s="5">
        <f>D39*E39</f>
        <v>3712</v>
      </c>
      <c r="G39" s="5">
        <f>G6</f>
        <v>64</v>
      </c>
      <c r="H39" s="5">
        <f>D39*G39</f>
        <v>3712</v>
      </c>
      <c r="I39" s="6">
        <f>H39/$H$45</f>
        <v>0.24746666666666667</v>
      </c>
      <c r="J39" s="6">
        <f>K6</f>
        <v>0.24804819341084719</v>
      </c>
      <c r="K39" s="22">
        <f>I39-J39</f>
        <v>-5.8152674418052164E-4</v>
      </c>
      <c r="L39" s="21"/>
      <c r="M39" s="21"/>
      <c r="N39" s="21"/>
      <c r="O39" s="21"/>
    </row>
    <row r="40" spans="2:15" ht="15.5" hidden="1" outlineLevel="1" thickTop="1" thickBot="1" x14ac:dyDescent="0.4">
      <c r="B40" s="3" t="str">
        <f t="shared" ref="B40:C40" si="6">B7</f>
        <v>DIA</v>
      </c>
      <c r="C40" s="3" t="str">
        <f t="shared" si="6"/>
        <v>SPDR Dow Jones Industrial Average ETF Trust</v>
      </c>
      <c r="D40" s="121">
        <f>$D$34*J40/E40</f>
        <v>0.42968391692944052</v>
      </c>
      <c r="E40" s="78">
        <f>G7</f>
        <v>8640.0720476806637</v>
      </c>
      <c r="F40" s="5">
        <f>D40*E40</f>
        <v>3712.4999999999995</v>
      </c>
      <c r="G40" s="5">
        <f>G7</f>
        <v>8640.0720476806637</v>
      </c>
      <c r="H40" s="5">
        <f>D40*G40</f>
        <v>3712.4999999999995</v>
      </c>
      <c r="I40" s="6">
        <f>H40/$H$45</f>
        <v>0.24749999999999997</v>
      </c>
      <c r="J40" s="6">
        <f>K7</f>
        <v>0.24749999999999997</v>
      </c>
      <c r="K40" s="22">
        <f t="shared" ref="K40:K43" si="7">I40-J40</f>
        <v>0</v>
      </c>
      <c r="L40" s="21"/>
      <c r="M40" s="21"/>
      <c r="N40" s="21"/>
      <c r="O40" s="21"/>
    </row>
    <row r="41" spans="2:15" ht="15.5" hidden="1" outlineLevel="1" thickTop="1" thickBot="1" x14ac:dyDescent="0.4">
      <c r="B41" s="3" t="str">
        <f t="shared" ref="B41:C41" si="8">B8</f>
        <v>QQQ</v>
      </c>
      <c r="C41" s="3" t="str">
        <f t="shared" si="8"/>
        <v>Invesco QQQ Trust</v>
      </c>
      <c r="D41" s="121">
        <f t="shared" ref="D41:D42" si="9">$D$34*J41/E41</f>
        <v>0.33613843812819377</v>
      </c>
      <c r="E41" s="78">
        <f>G8</f>
        <v>11044.556584106445</v>
      </c>
      <c r="F41" s="5">
        <f>D41*E41</f>
        <v>3712.4999999999995</v>
      </c>
      <c r="G41" s="5">
        <f>G8</f>
        <v>11044.556584106445</v>
      </c>
      <c r="H41" s="5">
        <f>D41*G41</f>
        <v>3712.4999999999995</v>
      </c>
      <c r="I41" s="6">
        <f>H41/$H$45</f>
        <v>0.24749999999999997</v>
      </c>
      <c r="J41" s="6">
        <f>K8</f>
        <v>0.24749999999999997</v>
      </c>
      <c r="K41" s="22">
        <f t="shared" si="7"/>
        <v>0</v>
      </c>
      <c r="L41" s="21"/>
      <c r="M41" s="21"/>
      <c r="N41" s="21"/>
      <c r="O41" s="21"/>
    </row>
    <row r="42" spans="2:15" ht="15.5" hidden="1" outlineLevel="1" thickTop="1" thickBot="1" x14ac:dyDescent="0.4">
      <c r="B42" s="3" t="str">
        <f t="shared" ref="B42:C42" si="10">B9</f>
        <v>VOO</v>
      </c>
      <c r="C42" s="3" t="str">
        <f t="shared" si="10"/>
        <v>Vanguard S&amp;P 500 ETF</v>
      </c>
      <c r="D42" s="121">
        <f t="shared" si="9"/>
        <v>0.3292669805273728</v>
      </c>
      <c r="E42" s="78">
        <f>G9</f>
        <v>11275.04493178711</v>
      </c>
      <c r="F42" s="5">
        <f>D42*E42</f>
        <v>3712.4999999999995</v>
      </c>
      <c r="G42" s="5">
        <f>G9</f>
        <v>11275.04493178711</v>
      </c>
      <c r="H42" s="5">
        <f>D42*G42</f>
        <v>3712.4999999999995</v>
      </c>
      <c r="I42" s="6">
        <f>H42/$H$45</f>
        <v>0.24749999999999997</v>
      </c>
      <c r="J42" s="6">
        <f>K9</f>
        <v>0.24749999999999997</v>
      </c>
      <c r="K42" s="22">
        <f t="shared" si="7"/>
        <v>0</v>
      </c>
      <c r="L42" s="21"/>
      <c r="M42" s="21"/>
      <c r="N42" s="21"/>
      <c r="O42" s="21"/>
    </row>
    <row r="43" spans="2:15" ht="15.5" hidden="1" outlineLevel="1" thickTop="1" thickBot="1" x14ac:dyDescent="0.4">
      <c r="B43" s="3" t="s">
        <v>7</v>
      </c>
      <c r="C43" s="3"/>
      <c r="D43" s="7">
        <f>D34-SUMPRODUCT(D39:D42,E39:E42)</f>
        <v>150.5</v>
      </c>
      <c r="E43" s="4"/>
      <c r="F43" s="5"/>
      <c r="G43" s="5"/>
      <c r="H43" s="5">
        <f>D43</f>
        <v>150.5</v>
      </c>
      <c r="I43" s="6">
        <f>H43/$H$45</f>
        <v>1.0033333333333333E-2</v>
      </c>
      <c r="J43" s="6">
        <f>K10</f>
        <v>9.451806589152725E-3</v>
      </c>
      <c r="K43" s="22">
        <f t="shared" si="7"/>
        <v>5.8152674418060837E-4</v>
      </c>
      <c r="L43" s="21"/>
      <c r="M43" s="21"/>
      <c r="N43" s="21"/>
      <c r="O43" s="21"/>
    </row>
    <row r="44" spans="2:15" ht="15.5" hidden="1" customHeight="1" outlineLevel="1" thickTop="1" thickBot="1" x14ac:dyDescent="0.4">
      <c r="K44" s="23"/>
      <c r="L44" s="21"/>
      <c r="M44" s="24"/>
      <c r="N44" s="21"/>
      <c r="O44" s="21"/>
    </row>
    <row r="45" spans="2:15" ht="15.5" hidden="1" customHeight="1" outlineLevel="1" thickBot="1" x14ac:dyDescent="0.4">
      <c r="B45" s="10" t="s">
        <v>10</v>
      </c>
      <c r="C45" s="10"/>
      <c r="D45" s="10"/>
      <c r="E45" s="10"/>
      <c r="F45" s="11"/>
      <c r="G45" s="11"/>
      <c r="H45" s="11">
        <f>SUM(H39:H43)</f>
        <v>15000</v>
      </c>
      <c r="I45" s="12">
        <f>SUM(I39:I43)</f>
        <v>0.99999999999999989</v>
      </c>
      <c r="J45" s="12">
        <f>SUM(J39:J43)</f>
        <v>0.99999999999999978</v>
      </c>
      <c r="K45" s="13">
        <f t="array" ref="K45">SUM(ABS(K39:K43))</f>
        <v>1.16305348836113E-3</v>
      </c>
      <c r="L45" s="25" t="str">
        <f>IF(K45&lt;0.1,"Excelente",IF(AND(K45&lt;=0.2,K45&gt;=0.1),"Buena",IF(AND(K45&lt;=0.35,K45&gt;0.2),"Regular","Mala")))</f>
        <v>Excelente</v>
      </c>
    </row>
    <row r="46" spans="2:15" ht="20.5" hidden="1" customHeight="1" outlineLevel="1" thickTop="1" thickBot="1" x14ac:dyDescent="0.4">
      <c r="K46" s="147" t="s">
        <v>14</v>
      </c>
      <c r="L46" s="148"/>
    </row>
    <row r="47" spans="2:15" collapsed="1" x14ac:dyDescent="0.35"/>
    <row r="48" spans="2:15" x14ac:dyDescent="0.35">
      <c r="F48" s="9"/>
    </row>
    <row r="49" spans="5:6" x14ac:dyDescent="0.35">
      <c r="F49" s="9"/>
    </row>
    <row r="50" spans="5:6" x14ac:dyDescent="0.35">
      <c r="F50" s="9"/>
    </row>
    <row r="51" spans="5:6" x14ac:dyDescent="0.35">
      <c r="F51" s="9"/>
    </row>
    <row r="52" spans="5:6" x14ac:dyDescent="0.35">
      <c r="F52" s="9"/>
    </row>
    <row r="53" spans="5:6" x14ac:dyDescent="0.35">
      <c r="F53" s="9"/>
    </row>
    <row r="54" spans="5:6" x14ac:dyDescent="0.35">
      <c r="F54" s="9"/>
    </row>
    <row r="55" spans="5:6" x14ac:dyDescent="0.35">
      <c r="F55" s="9"/>
    </row>
    <row r="56" spans="5:6" x14ac:dyDescent="0.35">
      <c r="F56" s="9"/>
    </row>
    <row r="57" spans="5:6" x14ac:dyDescent="0.35">
      <c r="E57" s="90"/>
      <c r="F57" s="19"/>
    </row>
  </sheetData>
  <sheetProtection algorithmName="SHA-512" hashValue="48a8raxDW5L1ZoK2nBRVPDybZz6ktS1Xckd4d0TTDgF2PtOiRgkKpTDd5m5kI7qWkn8RT8qOZhpZxAdvCHMOLw==" saltValue="pPv1v6zZET1D/EtdrIHRRA==" spinCount="100000" sheet="1" objects="1" scenarios="1" formatRows="0"/>
  <mergeCells count="15">
    <mergeCell ref="M30:N30"/>
    <mergeCell ref="B18:K19"/>
    <mergeCell ref="B35:K35"/>
    <mergeCell ref="B3:C3"/>
    <mergeCell ref="K46:L46"/>
    <mergeCell ref="B15:C15"/>
    <mergeCell ref="B21:C21"/>
    <mergeCell ref="B17:C17"/>
    <mergeCell ref="H14:I14"/>
    <mergeCell ref="F2:G2"/>
    <mergeCell ref="B2:C2"/>
    <mergeCell ref="B37:C37"/>
    <mergeCell ref="B34:C34"/>
    <mergeCell ref="B33:C33"/>
    <mergeCell ref="B16:C16"/>
  </mergeCells>
  <conditionalFormatting sqref="E39:E42">
    <cfRule type="expression" dxfId="30" priority="25">
      <formula>#REF!="Último cierre"</formula>
    </cfRule>
  </conditionalFormatting>
  <conditionalFormatting sqref="I10">
    <cfRule type="cellIs" dxfId="29" priority="1" operator="lessThan">
      <formula>0</formula>
    </cfRule>
    <cfRule type="cellIs" dxfId="28" priority="2" operator="greaterThan">
      <formula>0</formula>
    </cfRule>
  </conditionalFormatting>
  <conditionalFormatting sqref="J6:J9 D17">
    <cfRule type="cellIs" dxfId="27" priority="6" operator="lessThan">
      <formula>0</formula>
    </cfRule>
    <cfRule type="cellIs" dxfId="26" priority="7" operator="greaterThan">
      <formula>0</formula>
    </cfRule>
  </conditionalFormatting>
  <conditionalFormatting sqref="J12:J14">
    <cfRule type="cellIs" dxfId="25" priority="36" operator="lessThan">
      <formula>0</formula>
    </cfRule>
    <cfRule type="cellIs" dxfId="24" priority="37" operator="greaterThan">
      <formula>0</formula>
    </cfRule>
  </conditionalFormatting>
  <conditionalFormatting sqref="J23:J26 J29">
    <cfRule type="cellIs" dxfId="23" priority="4" operator="lessThan">
      <formula>0</formula>
    </cfRule>
    <cfRule type="cellIs" dxfId="22" priority="5" operator="greaterThan">
      <formula>0</formula>
    </cfRule>
  </conditionalFormatting>
  <conditionalFormatting sqref="K39:K44">
    <cfRule type="dataBar" priority="92">
      <dataBar>
        <cfvo type="min"/>
        <cfvo type="max"/>
        <color rgb="FF638EC6"/>
      </dataBar>
      <extLst>
        <ext xmlns:x14="http://schemas.microsoft.com/office/spreadsheetml/2009/9/main" uri="{B025F937-C7B1-47D3-B67F-A62EFF666E3E}">
          <x14:id>{DC2930AF-6D1F-44AA-8DAA-385425FF4B23}</x14:id>
        </ext>
      </extLst>
    </cfRule>
  </conditionalFormatting>
  <conditionalFormatting sqref="K45">
    <cfRule type="dataBar" priority="23">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45">
    <cfRule type="containsText" dxfId="21" priority="15" operator="containsText" text="Mala">
      <formula>NOT(ISERROR(SEARCH("Mala",L45)))</formula>
    </cfRule>
    <cfRule type="containsText" dxfId="20" priority="16" operator="containsText" text="Regular">
      <formula>NOT(ISERROR(SEARCH("Regular",L45)))</formula>
    </cfRule>
    <cfRule type="containsText" dxfId="19" priority="17" operator="containsText" text="Buena">
      <formula>NOT(ISERROR(SEARCH("Buena",L45)))</formula>
    </cfRule>
    <cfRule type="containsText" dxfId="18" priority="18" operator="containsText" text="Excelente">
      <formula>NOT(ISERROR(SEARCH("Excelente",L45)))</formula>
    </cfRule>
  </conditionalFormatting>
  <conditionalFormatting sqref="M23:M28">
    <cfRule type="dataBar" priority="91">
      <dataBar>
        <cfvo type="min"/>
        <cfvo type="max"/>
        <color rgb="FF638EC6"/>
      </dataBar>
      <extLst>
        <ext xmlns:x14="http://schemas.microsoft.com/office/spreadsheetml/2009/9/main" uri="{B025F937-C7B1-47D3-B67F-A62EFF666E3E}">
          <x14:id>{A6C38E43-9828-4B60-9E45-6183185C3C99}</x14:id>
        </ext>
      </extLst>
    </cfRule>
  </conditionalFormatting>
  <conditionalFormatting sqref="M29">
    <cfRule type="dataBar" priority="12">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29">
    <cfRule type="containsText" dxfId="17" priority="8" operator="containsText" text="Mala">
      <formula>NOT(ISERROR(SEARCH("Mala",N29)))</formula>
    </cfRule>
    <cfRule type="containsText" dxfId="16" priority="9" operator="containsText" text="Regular">
      <formula>NOT(ISERROR(SEARCH("Regular",N29)))</formula>
    </cfRule>
    <cfRule type="containsText" dxfId="15" priority="10" operator="containsText" text="Buena">
      <formula>NOT(ISERROR(SEARCH("Buena",N29)))</formula>
    </cfRule>
    <cfRule type="containsText" dxfId="14" priority="11" operator="containsText" text="Excelente">
      <formula>NOT(ISERROR(SEARCH("Excelente",N29)))</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K39:K44</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K45</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M23:M28</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M29</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42"/>
  <sheetViews>
    <sheetView showGridLines="0" showRowColHeaders="0" tabSelected="1" zoomScale="80" zoomScaleNormal="80" workbookViewId="0">
      <selection activeCell="J3" sqref="J3"/>
    </sheetView>
  </sheetViews>
  <sheetFormatPr baseColWidth="10" defaultRowHeight="14.5" outlineLevelRow="1" x14ac:dyDescent="0.35"/>
  <cols>
    <col min="1" max="1" width="3.08984375" customWidth="1"/>
    <col min="2" max="2" width="11.7265625" customWidth="1"/>
    <col min="3" max="3" width="34.54296875" customWidth="1"/>
    <col min="6" max="6" width="12.1796875" customWidth="1"/>
    <col min="7" max="7" width="11.26953125" customWidth="1"/>
    <col min="8" max="8" width="11.6328125" customWidth="1"/>
    <col min="9" max="10" width="12.6328125" customWidth="1"/>
    <col min="18" max="18" width="10.90625" customWidth="1"/>
  </cols>
  <sheetData>
    <row r="1" spans="2:17" ht="9.5" customHeight="1" x14ac:dyDescent="0.35"/>
    <row r="2" spans="2:17" ht="15" x14ac:dyDescent="0.4">
      <c r="B2" s="143" t="s">
        <v>70</v>
      </c>
      <c r="C2" s="143"/>
      <c r="D2" s="77">
        <v>46024</v>
      </c>
      <c r="F2" s="142" t="s">
        <v>45</v>
      </c>
      <c r="G2" s="142"/>
      <c r="H2" s="116">
        <v>0</v>
      </c>
      <c r="J2" s="117">
        <v>7.6100000000000001E-2</v>
      </c>
    </row>
    <row r="3" spans="2:17" ht="15" x14ac:dyDescent="0.4">
      <c r="B3" s="151" t="s">
        <v>24</v>
      </c>
      <c r="C3" s="151"/>
      <c r="D3" s="66">
        <v>25000</v>
      </c>
      <c r="J3" s="117">
        <v>0</v>
      </c>
    </row>
    <row r="4" spans="2:17" ht="15.5" thickBot="1" x14ac:dyDescent="0.45">
      <c r="B4" s="56"/>
      <c r="C4" s="56"/>
      <c r="I4" s="28"/>
    </row>
    <row r="5" spans="2:17" ht="16.5" thickBot="1" x14ac:dyDescent="0.5">
      <c r="B5" s="30"/>
      <c r="C5" s="21"/>
      <c r="D5" s="155" t="s">
        <v>17</v>
      </c>
      <c r="E5" s="156"/>
      <c r="F5" s="156"/>
      <c r="G5" s="156"/>
      <c r="H5" s="156"/>
      <c r="I5" s="156"/>
      <c r="J5" s="157"/>
      <c r="K5" s="159" t="s">
        <v>18</v>
      </c>
      <c r="L5" s="160"/>
      <c r="M5" s="160"/>
      <c r="N5" s="161"/>
      <c r="O5" s="21"/>
    </row>
    <row r="6" spans="2:17" ht="47.5" thickTop="1" thickBot="1" x14ac:dyDescent="0.4">
      <c r="B6" s="1" t="s">
        <v>1</v>
      </c>
      <c r="C6" s="31" t="s">
        <v>2</v>
      </c>
      <c r="D6" s="32" t="s">
        <v>3</v>
      </c>
      <c r="E6" s="62" t="s">
        <v>8</v>
      </c>
      <c r="F6" s="64" t="s">
        <v>81</v>
      </c>
      <c r="G6" s="33" t="s">
        <v>6</v>
      </c>
      <c r="H6" s="64" t="s">
        <v>83</v>
      </c>
      <c r="I6" s="33" t="s">
        <v>84</v>
      </c>
      <c r="J6" s="33" t="s">
        <v>21</v>
      </c>
      <c r="K6" s="63" t="s">
        <v>3</v>
      </c>
      <c r="L6" s="63" t="s">
        <v>8</v>
      </c>
      <c r="M6" s="34" t="s">
        <v>9</v>
      </c>
      <c r="N6" s="35" t="s">
        <v>6</v>
      </c>
      <c r="O6" s="36" t="s">
        <v>19</v>
      </c>
    </row>
    <row r="7" spans="2:17" ht="15.5" thickTop="1" thickBot="1" x14ac:dyDescent="0.4">
      <c r="B7" s="3" t="s">
        <v>71</v>
      </c>
      <c r="C7" s="37" t="s">
        <v>77</v>
      </c>
      <c r="D7" s="38">
        <v>255</v>
      </c>
      <c r="E7" s="65">
        <v>50.688235294117646</v>
      </c>
      <c r="F7" s="5">
        <v>57.43</v>
      </c>
      <c r="G7" s="6">
        <f>D7*F7/$F$13</f>
        <v>0.33033779374045896</v>
      </c>
      <c r="H7" s="5">
        <v>64</v>
      </c>
      <c r="I7" s="5">
        <v>190.55410500000002</v>
      </c>
      <c r="J7" s="58">
        <f>(H7+I7/D7)/F7-1</f>
        <v>0.12741199721399954</v>
      </c>
      <c r="K7" s="111">
        <f>D7+F16</f>
        <v>187</v>
      </c>
      <c r="L7" s="65">
        <f>IF(K7&gt;0,IF(K7&gt;D7,(D7*E7+(K7-D7)*G16)/K7,E7),0)</f>
        <v>50.688235294117646</v>
      </c>
      <c r="M7" s="4">
        <f>K7*H7</f>
        <v>11968</v>
      </c>
      <c r="N7" s="39">
        <f>M7/$M$13</f>
        <v>0.24804819341084719</v>
      </c>
      <c r="O7" s="40">
        <f>N7-G7</f>
        <v>-8.2289600329611773E-2</v>
      </c>
      <c r="Q7" s="8"/>
    </row>
    <row r="8" spans="2:17" ht="15.5" thickTop="1" thickBot="1" x14ac:dyDescent="0.4">
      <c r="B8" s="3" t="s">
        <v>72</v>
      </c>
      <c r="C8" s="37" t="s">
        <v>76</v>
      </c>
      <c r="D8" s="119">
        <v>0</v>
      </c>
      <c r="E8" s="65">
        <v>0</v>
      </c>
      <c r="F8" s="5">
        <v>8239.2180000000008</v>
      </c>
      <c r="G8" s="6">
        <f>D8*F8/$F$13</f>
        <v>0</v>
      </c>
      <c r="H8" s="5">
        <v>8640.0720476806637</v>
      </c>
      <c r="I8" s="5">
        <v>0</v>
      </c>
      <c r="J8" s="58" t="e">
        <f t="shared" ref="J8:J10" si="0">(H8+I8/D8)/F8-1</f>
        <v>#DIV/0!</v>
      </c>
      <c r="K8" s="43">
        <f>D8+F17</f>
        <v>1.3821123621446121</v>
      </c>
      <c r="L8" s="65">
        <f>IF(K8&gt;0,IF(K8&gt;D8,(D8*E8+(K8-D8)*G17)/K8,E8),0)</f>
        <v>8640.0720476806637</v>
      </c>
      <c r="M8" s="4">
        <f t="shared" ref="M8:M9" si="1">K8*H8</f>
        <v>11941.550386919558</v>
      </c>
      <c r="N8" s="39">
        <f>M8/$M$13</f>
        <v>0.24749999999999997</v>
      </c>
      <c r="O8" s="40">
        <f t="shared" ref="O8:O11" si="2">N8-G8</f>
        <v>0.24749999999999997</v>
      </c>
      <c r="Q8" s="8"/>
    </row>
    <row r="9" spans="2:17" ht="15.5" thickTop="1" thickBot="1" x14ac:dyDescent="0.4">
      <c r="B9" s="3" t="s">
        <v>73</v>
      </c>
      <c r="C9" s="37" t="s">
        <v>75</v>
      </c>
      <c r="D9" s="119">
        <v>1.4189624762469515</v>
      </c>
      <c r="E9" s="65">
        <v>7379.0042062936227</v>
      </c>
      <c r="F9" s="5">
        <v>10310.120990000001</v>
      </c>
      <c r="G9" s="6">
        <f>D9*F9/$F$13</f>
        <v>0.32999999999999996</v>
      </c>
      <c r="H9" s="5">
        <v>11044.556584106445</v>
      </c>
      <c r="I9" s="5">
        <v>38.436863508145557</v>
      </c>
      <c r="J9" s="58">
        <f t="shared" si="0"/>
        <v>7.3861752005514925E-2</v>
      </c>
      <c r="K9" s="43">
        <f>D9+F18</f>
        <v>1.0812159180843821</v>
      </c>
      <c r="L9" s="65">
        <f>IF(K9&gt;0,IF(K9&gt;D9,(D9*E9+(K9-D9)*G18)/K9,E9),0)</f>
        <v>7379.0042062936227</v>
      </c>
      <c r="M9" s="4">
        <f t="shared" si="1"/>
        <v>11941.550386919558</v>
      </c>
      <c r="N9" s="39">
        <f>M9/$M$13</f>
        <v>0.24749999999999997</v>
      </c>
      <c r="O9" s="40">
        <f t="shared" si="2"/>
        <v>-8.249999999999999E-2</v>
      </c>
      <c r="Q9" s="8"/>
    </row>
    <row r="10" spans="2:17" ht="15.5" thickTop="1" thickBot="1" x14ac:dyDescent="0.4">
      <c r="B10" s="3" t="s">
        <v>74</v>
      </c>
      <c r="C10" s="37" t="s">
        <v>78</v>
      </c>
      <c r="D10" s="119">
        <v>1.3717596677064852</v>
      </c>
      <c r="E10" s="65">
        <v>8501.5157173722164</v>
      </c>
      <c r="F10" s="5">
        <v>10664.89645</v>
      </c>
      <c r="G10" s="6">
        <f>D10*F10/$F$13</f>
        <v>0.32999999999999996</v>
      </c>
      <c r="H10" s="5">
        <v>11275.04493178711</v>
      </c>
      <c r="I10" s="5">
        <v>132.88592537445621</v>
      </c>
      <c r="J10" s="58">
        <f t="shared" si="0"/>
        <v>6.6294228448227965E-2</v>
      </c>
      <c r="K10" s="43">
        <f>D10+F19</f>
        <v>1.0591133302940023</v>
      </c>
      <c r="L10" s="65">
        <f>IF(K10&gt;0,IF(K10&gt;D10,(D10*E10+(K10-D10)*G19)/K10,E10),0)</f>
        <v>8501.5157173722164</v>
      </c>
      <c r="M10" s="4">
        <f>K10*H10</f>
        <v>11941.550386919558</v>
      </c>
      <c r="N10" s="39">
        <f>M10/$M$13</f>
        <v>0.24749999999999997</v>
      </c>
      <c r="O10" s="40">
        <f t="shared" si="2"/>
        <v>-8.249999999999999E-2</v>
      </c>
      <c r="Q10" s="8"/>
    </row>
    <row r="11" spans="2:17" ht="15.5" thickTop="1" thickBot="1" x14ac:dyDescent="0.4">
      <c r="B11" s="3" t="s">
        <v>7</v>
      </c>
      <c r="C11" s="37"/>
      <c r="D11" s="41">
        <v>428.34828947838105</v>
      </c>
      <c r="E11" s="61">
        <v>0</v>
      </c>
      <c r="F11" s="42">
        <v>0</v>
      </c>
      <c r="G11" s="60">
        <f>D11/$F$13</f>
        <v>9.6622062595410514E-3</v>
      </c>
      <c r="H11" s="42">
        <f>D11*(1+H2)^(180/360)</f>
        <v>428.34828947838105</v>
      </c>
      <c r="I11" s="59"/>
      <c r="J11" s="130">
        <f>H11/D11-1</f>
        <v>0</v>
      </c>
      <c r="K11" s="43">
        <f>H11+I13-SUMPRODUCT(F16:F19,G16:G19)</f>
        <v>456.03727123953763</v>
      </c>
      <c r="L11" s="57"/>
      <c r="M11" s="44">
        <f>K11</f>
        <v>456.03727123953763</v>
      </c>
      <c r="N11" s="45">
        <f>M11/$M$13</f>
        <v>9.451806589152725E-3</v>
      </c>
      <c r="O11" s="40">
        <f t="shared" si="2"/>
        <v>-2.1039967038832645E-4</v>
      </c>
    </row>
    <row r="12" spans="2:17" ht="15.5" thickTop="1" thickBot="1" x14ac:dyDescent="0.4">
      <c r="B12" s="21"/>
      <c r="C12" s="21"/>
      <c r="D12" s="46"/>
      <c r="E12" s="46"/>
      <c r="F12" s="47"/>
      <c r="G12" s="47"/>
      <c r="H12" s="48"/>
      <c r="I12" s="48"/>
      <c r="J12" s="48"/>
      <c r="K12" s="46"/>
      <c r="L12" s="46"/>
      <c r="M12" s="47"/>
      <c r="N12" s="48"/>
      <c r="O12" s="23"/>
    </row>
    <row r="13" spans="2:17" ht="15.5" thickTop="1" thickBot="1" x14ac:dyDescent="0.4">
      <c r="B13" s="10" t="s">
        <v>10</v>
      </c>
      <c r="C13" s="10"/>
      <c r="D13" s="10"/>
      <c r="E13" s="50"/>
      <c r="F13" s="11">
        <f>SUMPRODUCT(D7:D10,F7:F10)+D11</f>
        <v>44332.347910230528</v>
      </c>
      <c r="G13" s="12">
        <f>SUM(G7:G11)</f>
        <v>0.99999999999999989</v>
      </c>
      <c r="H13" s="50">
        <f>SUMPRODUCT(D7:D10,H7:H10)+H11</f>
        <v>47886.811538115609</v>
      </c>
      <c r="I13" s="50">
        <f>SUM(I7:I11)</f>
        <v>361.87689388260179</v>
      </c>
      <c r="J13" s="14">
        <f>(H13+I13)/F13-1</f>
        <v>8.8340471605473425E-2</v>
      </c>
      <c r="K13" s="110" t="s">
        <v>64</v>
      </c>
      <c r="L13" s="49"/>
      <c r="M13" s="50">
        <f>SUM(M7:M11)</f>
        <v>48248.68843199822</v>
      </c>
      <c r="N13" s="49">
        <f>SUM(N7:N11)</f>
        <v>0.99999999999999978</v>
      </c>
      <c r="O13" s="49">
        <f>SUMIF(O7:O10,"&gt;0",O7:O10)</f>
        <v>0.24749999999999997</v>
      </c>
    </row>
    <row r="14" spans="2:17" ht="15.5" thickTop="1" thickBot="1" x14ac:dyDescent="0.4">
      <c r="B14" s="51"/>
      <c r="C14" s="51"/>
      <c r="D14" s="51"/>
      <c r="E14" s="51"/>
      <c r="F14" s="52"/>
      <c r="G14" s="52"/>
      <c r="H14" s="53"/>
      <c r="I14" s="109"/>
      <c r="J14" s="14">
        <f>LN((H13+I13)/F13)</f>
        <v>8.4654032941200996E-2</v>
      </c>
      <c r="K14" s="23" t="s">
        <v>63</v>
      </c>
      <c r="L14" s="53"/>
      <c r="M14" s="54"/>
      <c r="N14" s="53"/>
      <c r="O14" s="21"/>
    </row>
    <row r="15" spans="2:17" ht="15.5" thickTop="1" thickBot="1" x14ac:dyDescent="0.4">
      <c r="B15" s="55" t="str">
        <f>CONCATENATE("Movimientos ",TEXT(D2,"dd-mm-yyyy"),"  (precios MXN cierre):")</f>
        <v>Movimientos 02-01-2026  (precios MXN cierre):</v>
      </c>
      <c r="C15" s="21"/>
      <c r="D15" s="128"/>
      <c r="E15" s="21"/>
      <c r="F15" s="67" t="s">
        <v>26</v>
      </c>
      <c r="G15" s="68" t="s">
        <v>25</v>
      </c>
      <c r="H15" s="21"/>
      <c r="I15" s="21"/>
      <c r="J15" s="14">
        <v>8.3000000000000004E-2</v>
      </c>
      <c r="K15" s="21" t="s">
        <v>86</v>
      </c>
      <c r="L15" s="21"/>
      <c r="M15" s="21"/>
      <c r="N15" s="21"/>
      <c r="O15" s="21"/>
    </row>
    <row r="16" spans="2:17" ht="15.5" thickTop="1" thickBot="1" x14ac:dyDescent="0.4">
      <c r="B16" s="3" t="s">
        <v>71</v>
      </c>
      <c r="C16" s="37" t="s">
        <v>77</v>
      </c>
      <c r="D16" s="21"/>
      <c r="E16" s="21"/>
      <c r="F16" s="69">
        <v>-68</v>
      </c>
      <c r="G16" s="5">
        <f>H7</f>
        <v>64</v>
      </c>
      <c r="H16" s="21"/>
      <c r="I16" s="70"/>
      <c r="J16" s="21"/>
      <c r="K16" s="21"/>
      <c r="L16" s="21"/>
      <c r="M16" s="21"/>
      <c r="N16" s="154"/>
      <c r="O16" s="154"/>
    </row>
    <row r="17" spans="2:16" ht="15.5" thickTop="1" thickBot="1" x14ac:dyDescent="0.4">
      <c r="B17" s="3" t="s">
        <v>72</v>
      </c>
      <c r="C17" s="37" t="s">
        <v>76</v>
      </c>
      <c r="D17" s="21"/>
      <c r="E17" s="21"/>
      <c r="F17" s="7">
        <v>1.3821123621446121</v>
      </c>
      <c r="G17" s="5">
        <f>H8</f>
        <v>8640.0720476806637</v>
      </c>
      <c r="H17" s="21"/>
      <c r="I17" s="70"/>
      <c r="J17" s="21"/>
      <c r="K17" s="21"/>
      <c r="L17" s="21"/>
      <c r="M17" s="21"/>
      <c r="N17" s="21"/>
      <c r="O17" s="21"/>
    </row>
    <row r="18" spans="2:16" ht="15.5" thickTop="1" thickBot="1" x14ac:dyDescent="0.4">
      <c r="B18" s="3" t="s">
        <v>73</v>
      </c>
      <c r="C18" s="37" t="s">
        <v>75</v>
      </c>
      <c r="D18" s="21"/>
      <c r="E18" s="21"/>
      <c r="F18" s="7">
        <v>-0.33774655816256938</v>
      </c>
      <c r="G18" s="5">
        <f>H9</f>
        <v>11044.556584106445</v>
      </c>
      <c r="H18" s="21"/>
      <c r="I18" s="70"/>
      <c r="J18" s="21"/>
      <c r="K18" s="21"/>
      <c r="L18" s="21"/>
      <c r="M18" s="21"/>
      <c r="N18" s="21"/>
      <c r="O18" s="21"/>
    </row>
    <row r="19" spans="2:16" ht="15.5" thickTop="1" thickBot="1" x14ac:dyDescent="0.4">
      <c r="B19" s="3" t="s">
        <v>74</v>
      </c>
      <c r="C19" s="37" t="s">
        <v>78</v>
      </c>
      <c r="D19" s="21"/>
      <c r="E19" s="21"/>
      <c r="F19" s="7">
        <v>-0.31264633741248282</v>
      </c>
      <c r="G19" s="5">
        <f>H10</f>
        <v>11275.04493178711</v>
      </c>
      <c r="H19" s="21"/>
      <c r="I19" s="70"/>
      <c r="J19" s="21"/>
      <c r="K19" s="21"/>
      <c r="L19" s="21"/>
      <c r="M19" s="21"/>
      <c r="N19" s="21"/>
      <c r="O19" s="21"/>
    </row>
    <row r="20" spans="2:16" ht="15" thickTop="1" x14ac:dyDescent="0.35">
      <c r="B20" s="102"/>
      <c r="C20" s="100"/>
      <c r="D20" s="21"/>
      <c r="E20" s="21"/>
      <c r="F20" s="103"/>
      <c r="G20" s="70"/>
      <c r="H20" s="21"/>
      <c r="I20" s="70"/>
      <c r="J20" s="21"/>
      <c r="K20" s="21"/>
      <c r="L20" s="21"/>
      <c r="M20" s="21"/>
      <c r="N20" s="21"/>
      <c r="O20" s="21"/>
    </row>
    <row r="23" spans="2:16" ht="17" x14ac:dyDescent="0.45">
      <c r="B23" s="158" t="s">
        <v>29</v>
      </c>
      <c r="C23" s="158"/>
      <c r="D23" s="158"/>
    </row>
    <row r="24" spans="2:16" outlineLevel="1" x14ac:dyDescent="0.35">
      <c r="B24" s="149" t="s">
        <v>88</v>
      </c>
      <c r="C24" s="149"/>
      <c r="D24" s="149"/>
      <c r="E24" s="149"/>
      <c r="F24" s="149"/>
      <c r="G24" s="149"/>
      <c r="H24" s="149"/>
      <c r="I24" s="149"/>
      <c r="J24" s="149"/>
      <c r="K24" s="149"/>
    </row>
    <row r="25" spans="2:16" outlineLevel="1" x14ac:dyDescent="0.35">
      <c r="B25" s="149"/>
      <c r="C25" s="149"/>
      <c r="D25" s="149"/>
      <c r="E25" s="149"/>
      <c r="F25" s="149"/>
      <c r="G25" s="149"/>
      <c r="H25" s="149"/>
      <c r="I25" s="149"/>
      <c r="J25" s="149"/>
      <c r="K25" s="149"/>
    </row>
    <row r="26" spans="2:16" ht="15" outlineLevel="1" thickBot="1" x14ac:dyDescent="0.4"/>
    <row r="27" spans="2:16" ht="16.5" outlineLevel="1" thickBot="1" x14ac:dyDescent="0.5">
      <c r="B27" s="144" t="s">
        <v>12</v>
      </c>
      <c r="C27" s="144"/>
      <c r="D27" s="155" t="s">
        <v>17</v>
      </c>
      <c r="E27" s="156"/>
      <c r="F27" s="156"/>
      <c r="G27" s="156"/>
      <c r="H27" s="156"/>
      <c r="I27" s="156"/>
      <c r="J27" s="157"/>
      <c r="K27" s="159" t="s">
        <v>18</v>
      </c>
      <c r="L27" s="160"/>
      <c r="M27" s="160"/>
      <c r="N27" s="161"/>
      <c r="O27" s="21"/>
    </row>
    <row r="28" spans="2:16" ht="36" outlineLevel="1" thickTop="1" thickBot="1" x14ac:dyDescent="0.4">
      <c r="B28" s="17" t="s">
        <v>1</v>
      </c>
      <c r="C28" s="72" t="s">
        <v>2</v>
      </c>
      <c r="D28" s="32" t="s">
        <v>3</v>
      </c>
      <c r="E28" s="62" t="s">
        <v>8</v>
      </c>
      <c r="F28" s="64" t="s">
        <v>22</v>
      </c>
      <c r="G28" s="33" t="s">
        <v>6</v>
      </c>
      <c r="H28" s="33" t="s">
        <v>23</v>
      </c>
      <c r="I28" s="33" t="s">
        <v>20</v>
      </c>
      <c r="J28" s="33" t="s">
        <v>21</v>
      </c>
      <c r="K28" s="63" t="s">
        <v>3</v>
      </c>
      <c r="L28" s="63" t="s">
        <v>8</v>
      </c>
      <c r="M28" s="34" t="s">
        <v>9</v>
      </c>
      <c r="N28" s="35" t="s">
        <v>5</v>
      </c>
      <c r="O28" s="74" t="s">
        <v>27</v>
      </c>
      <c r="P28" s="21"/>
    </row>
    <row r="29" spans="2:16" ht="15.5" outlineLevel="1" thickTop="1" thickBot="1" x14ac:dyDescent="0.4">
      <c r="B29" s="3" t="str">
        <f>B7</f>
        <v>NAFTRACISHRS</v>
      </c>
      <c r="C29" s="37" t="str">
        <f>C7</f>
        <v>iShares NAFTRAC</v>
      </c>
      <c r="D29" s="93">
        <v>0</v>
      </c>
      <c r="E29" s="94">
        <v>0</v>
      </c>
      <c r="F29" s="5">
        <f>F7</f>
        <v>57.43</v>
      </c>
      <c r="G29" s="6">
        <f>D29*F29/$F$35</f>
        <v>0</v>
      </c>
      <c r="H29" s="5">
        <f>H7</f>
        <v>64</v>
      </c>
      <c r="I29" s="4">
        <f>IFERROR(I7/D7*D29,0)</f>
        <v>0</v>
      </c>
      <c r="J29" s="58" t="e">
        <f>(H29+I29/D29)/F29-1</f>
        <v>#DIV/0!</v>
      </c>
      <c r="K29" s="43" t="e">
        <f>D29+F38</f>
        <v>#DIV/0!</v>
      </c>
      <c r="L29" s="65" t="e">
        <f>IF(K29&gt;0,IF(K29&gt;D29,(D29*E29+(K29-D29)*G38)/K29,E29),0)</f>
        <v>#DIV/0!</v>
      </c>
      <c r="M29" s="4" t="e">
        <f>K29*H29</f>
        <v>#DIV/0!</v>
      </c>
      <c r="N29" s="39" t="e">
        <f>M29/$M$35</f>
        <v>#DIV/0!</v>
      </c>
      <c r="O29" s="40" t="e">
        <f>N29-N7</f>
        <v>#DIV/0!</v>
      </c>
      <c r="P29" s="21"/>
    </row>
    <row r="30" spans="2:16" ht="15.5" outlineLevel="1" thickTop="1" thickBot="1" x14ac:dyDescent="0.4">
      <c r="B30" s="3" t="str">
        <f t="shared" ref="B30:C30" si="3">B8</f>
        <v>DIA</v>
      </c>
      <c r="C30" s="37" t="str">
        <f t="shared" si="3"/>
        <v>SPDR Dow Jones Industrial Average ETF Trust</v>
      </c>
      <c r="D30" s="120">
        <v>0</v>
      </c>
      <c r="E30" s="94">
        <v>6558</v>
      </c>
      <c r="F30" s="5">
        <f>F8</f>
        <v>8239.2180000000008</v>
      </c>
      <c r="G30" s="6">
        <f>D30*F30/$F$35</f>
        <v>0</v>
      </c>
      <c r="H30" s="5">
        <f>H8</f>
        <v>8640.0720476806637</v>
      </c>
      <c r="I30" s="5" t="e">
        <f>I8/D8*D30</f>
        <v>#DIV/0!</v>
      </c>
      <c r="J30" s="58" t="e">
        <f>(H30+I30/D30)/F30-1</f>
        <v>#DIV/0!</v>
      </c>
      <c r="K30" s="43" t="e">
        <f>D30+F39</f>
        <v>#DIV/0!</v>
      </c>
      <c r="L30" s="65" t="e">
        <f>IF(K30&gt;0,IF(K30&gt;D30,(D30*E30+(K30-D30)*G39)/K30,E30),0)</f>
        <v>#DIV/0!</v>
      </c>
      <c r="M30" s="4" t="e">
        <f t="shared" ref="M30:M32" si="4">K30*H30</f>
        <v>#DIV/0!</v>
      </c>
      <c r="N30" s="39" t="e">
        <f>M30/$M$35</f>
        <v>#DIV/0!</v>
      </c>
      <c r="O30" s="40" t="e">
        <f>N30-N8</f>
        <v>#DIV/0!</v>
      </c>
      <c r="P30" s="21"/>
    </row>
    <row r="31" spans="2:16" ht="15.5" outlineLevel="1" thickTop="1" thickBot="1" x14ac:dyDescent="0.4">
      <c r="B31" s="3" t="str">
        <f t="shared" ref="B31:C31" si="5">B9</f>
        <v>QQQ</v>
      </c>
      <c r="C31" s="37" t="str">
        <f t="shared" si="5"/>
        <v>Invesco QQQ Trust</v>
      </c>
      <c r="D31" s="120">
        <v>0</v>
      </c>
      <c r="E31" s="94">
        <v>6554</v>
      </c>
      <c r="F31" s="5">
        <f>F9</f>
        <v>10310.120990000001</v>
      </c>
      <c r="G31" s="6">
        <f>D31*F31/$F$35</f>
        <v>0</v>
      </c>
      <c r="H31" s="5">
        <f>H9</f>
        <v>11044.556584106445</v>
      </c>
      <c r="I31" s="5">
        <f>I9/D9*D31</f>
        <v>0</v>
      </c>
      <c r="J31" s="58" t="e">
        <f t="shared" ref="J31:J32" si="6">(H31+I31/D31)/F31-1</f>
        <v>#DIV/0!</v>
      </c>
      <c r="K31" s="43" t="e">
        <f>D31+F40</f>
        <v>#DIV/0!</v>
      </c>
      <c r="L31" s="65" t="e">
        <f>IF(K31&gt;0,IF(K31&gt;D31,(D31*E31+(K31-D31)*G40)/K31,E31),0)</f>
        <v>#DIV/0!</v>
      </c>
      <c r="M31" s="4" t="e">
        <f t="shared" si="4"/>
        <v>#DIV/0!</v>
      </c>
      <c r="N31" s="39" t="e">
        <f>M31/$M$35</f>
        <v>#DIV/0!</v>
      </c>
      <c r="O31" s="40" t="e">
        <f>N31-N9</f>
        <v>#DIV/0!</v>
      </c>
      <c r="P31" s="21"/>
    </row>
    <row r="32" spans="2:16" ht="15.5" outlineLevel="1" thickTop="1" thickBot="1" x14ac:dyDescent="0.4">
      <c r="B32" s="3" t="str">
        <f t="shared" ref="B32:C32" si="7">B10</f>
        <v>VOO</v>
      </c>
      <c r="C32" s="37" t="str">
        <f t="shared" si="7"/>
        <v>Vanguard S&amp;P 500 ETF</v>
      </c>
      <c r="D32" s="120">
        <v>0</v>
      </c>
      <c r="E32" s="94">
        <v>7745</v>
      </c>
      <c r="F32" s="5">
        <f>F10</f>
        <v>10664.89645</v>
      </c>
      <c r="G32" s="6">
        <f>D32*F32/$F$35</f>
        <v>0</v>
      </c>
      <c r="H32" s="5">
        <f>H10</f>
        <v>11275.04493178711</v>
      </c>
      <c r="I32" s="5">
        <f>I10/D10*D32</f>
        <v>0</v>
      </c>
      <c r="J32" s="58" t="e">
        <f t="shared" si="6"/>
        <v>#DIV/0!</v>
      </c>
      <c r="K32" s="43" t="e">
        <f>D32+F41</f>
        <v>#DIV/0!</v>
      </c>
      <c r="L32" s="65" t="e">
        <f>IF(K32&gt;0,IF(K32&gt;D32,(D32*E32+(K32-D32)*G41)/K32,E32),0)</f>
        <v>#DIV/0!</v>
      </c>
      <c r="M32" s="4" t="e">
        <f t="shared" si="4"/>
        <v>#DIV/0!</v>
      </c>
      <c r="N32" s="39" t="e">
        <f>M32/$M$35</f>
        <v>#DIV/0!</v>
      </c>
      <c r="O32" s="40" t="e">
        <f>N32-N10</f>
        <v>#DIV/0!</v>
      </c>
      <c r="P32" s="21"/>
    </row>
    <row r="33" spans="2:16" ht="15.5" outlineLevel="1" thickTop="1" thickBot="1" x14ac:dyDescent="0.4">
      <c r="B33" s="3" t="s">
        <v>7</v>
      </c>
      <c r="C33" s="37"/>
      <c r="D33" s="104">
        <v>475.95333099365234</v>
      </c>
      <c r="E33" s="61"/>
      <c r="F33" s="42"/>
      <c r="G33" s="60">
        <f>D33/$F$35</f>
        <v>1</v>
      </c>
      <c r="H33" s="42">
        <f>D33*(1+H2)^(180/360)</f>
        <v>475.95333099365234</v>
      </c>
      <c r="I33" s="59"/>
      <c r="J33" s="130">
        <f>H33/D33-1</f>
        <v>0</v>
      </c>
      <c r="K33" s="43" t="e">
        <f>H33+I35-SUMPRODUCT(F38:F41,G38:G41)</f>
        <v>#DIV/0!</v>
      </c>
      <c r="L33" s="57"/>
      <c r="M33" s="44" t="e">
        <f>K33</f>
        <v>#DIV/0!</v>
      </c>
      <c r="N33" s="45" t="e">
        <f>M33/$M$35</f>
        <v>#DIV/0!</v>
      </c>
      <c r="O33" s="40" t="e">
        <f>N33-N11</f>
        <v>#DIV/0!</v>
      </c>
      <c r="P33" s="21"/>
    </row>
    <row r="34" spans="2:16" ht="15.5" outlineLevel="1" thickTop="1" thickBot="1" x14ac:dyDescent="0.4">
      <c r="B34" s="21"/>
      <c r="C34" s="21"/>
      <c r="D34" s="46"/>
      <c r="E34" s="46"/>
      <c r="F34" s="47"/>
      <c r="G34" s="47"/>
      <c r="H34" s="48"/>
      <c r="I34" s="48"/>
      <c r="J34" s="48"/>
      <c r="K34" s="46"/>
      <c r="L34" s="46"/>
      <c r="M34" s="47"/>
      <c r="N34" s="48"/>
    </row>
    <row r="35" spans="2:16" ht="15.5" outlineLevel="1" thickTop="1" thickBot="1" x14ac:dyDescent="0.4">
      <c r="B35" s="10" t="s">
        <v>10</v>
      </c>
      <c r="C35" s="10"/>
      <c r="D35" s="10"/>
      <c r="E35" s="50"/>
      <c r="F35" s="11">
        <f>SUMPRODUCT(D29:D32,F29:F32)+D33</f>
        <v>475.95333099365234</v>
      </c>
      <c r="G35" s="12">
        <f>SUM(G29:G33)</f>
        <v>1</v>
      </c>
      <c r="H35" s="50">
        <f>SUMPRODUCT(D29:D32,H29:H32)+H33</f>
        <v>475.95333099365234</v>
      </c>
      <c r="I35" s="50" t="e">
        <f>SUM(I29:I33)</f>
        <v>#DIV/0!</v>
      </c>
      <c r="J35" s="14" t="e">
        <f>(H35+I35)/F35-1</f>
        <v>#DIV/0!</v>
      </c>
      <c r="K35" s="110" t="s">
        <v>64</v>
      </c>
      <c r="L35" s="49"/>
      <c r="M35" s="50" t="e">
        <f>SUM(M29:M33)</f>
        <v>#DIV/0!</v>
      </c>
      <c r="N35" s="49" t="e">
        <f>SUM(N29:N33)</f>
        <v>#DIV/0!</v>
      </c>
      <c r="O35" s="13" t="e">
        <f t="array" ref="O35">SUM(ABS(O29:O33))</f>
        <v>#DIV/0!</v>
      </c>
      <c r="P35" s="25" t="e">
        <f>IF(O35&lt;0.1,"Excelente",IF(AND(O35&lt;=0.2,O35&gt;=0.1),"Buena",IF(AND(O35&lt;=0.35,O35&gt;0.2),"Regular","Mala")))</f>
        <v>#DIV/0!</v>
      </c>
    </row>
    <row r="36" spans="2:16" ht="26" customHeight="1" outlineLevel="1" thickTop="1" thickBot="1" x14ac:dyDescent="0.4">
      <c r="B36" s="51"/>
      <c r="C36" s="51"/>
      <c r="D36" s="51"/>
      <c r="E36" s="51"/>
      <c r="F36" s="52"/>
      <c r="G36" s="91"/>
      <c r="H36" s="53"/>
      <c r="I36" s="53"/>
      <c r="J36" s="14" t="e">
        <f>LN((H35+I35)/F35)</f>
        <v>#DIV/0!</v>
      </c>
      <c r="K36" s="23" t="s">
        <v>63</v>
      </c>
      <c r="L36" s="53"/>
      <c r="M36" s="54"/>
      <c r="N36" s="53"/>
      <c r="O36" s="147" t="s">
        <v>14</v>
      </c>
      <c r="P36" s="148"/>
    </row>
    <row r="37" spans="2:16" ht="15.5" outlineLevel="1" thickTop="1" thickBot="1" x14ac:dyDescent="0.4">
      <c r="B37" s="55" t="str">
        <f>B15</f>
        <v>Movimientos 02-01-2026  (precios MXN cierre):</v>
      </c>
      <c r="C37" s="21"/>
      <c r="D37" s="21"/>
      <c r="E37" s="21"/>
      <c r="F37" s="67" t="s">
        <v>26</v>
      </c>
      <c r="G37" s="68" t="s">
        <v>25</v>
      </c>
      <c r="H37" s="21"/>
      <c r="I37" s="21"/>
      <c r="J37" s="21"/>
      <c r="K37" s="21"/>
      <c r="L37" s="21"/>
      <c r="M37" s="21"/>
      <c r="N37" s="21"/>
      <c r="O37" s="21"/>
    </row>
    <row r="38" spans="2:16" ht="15.5" outlineLevel="1" thickTop="1" thickBot="1" x14ac:dyDescent="0.4">
      <c r="B38" s="3" t="str">
        <f>B16</f>
        <v>NAFTRACISHRS</v>
      </c>
      <c r="C38" s="3" t="str">
        <f>C16</f>
        <v>iShares NAFTRAC</v>
      </c>
      <c r="D38" s="21"/>
      <c r="E38" s="21"/>
      <c r="F38" s="69" t="e">
        <f>ROUND(N7*($H$35+$I$35)/G38,0)-D29</f>
        <v>#DIV/0!</v>
      </c>
      <c r="G38" s="95">
        <f>H29</f>
        <v>64</v>
      </c>
      <c r="H38" s="21"/>
      <c r="I38" s="70"/>
      <c r="J38" s="21"/>
      <c r="K38" s="21"/>
      <c r="L38" s="21"/>
      <c r="M38" s="21"/>
      <c r="N38" s="154"/>
      <c r="O38" s="154"/>
    </row>
    <row r="39" spans="2:16" ht="15.5" outlineLevel="1" thickTop="1" thickBot="1" x14ac:dyDescent="0.4">
      <c r="B39" s="3" t="str">
        <f t="shared" ref="B39:C39" si="8">B17</f>
        <v>DIA</v>
      </c>
      <c r="C39" s="3" t="str">
        <f t="shared" si="8"/>
        <v>SPDR Dow Jones Industrial Average ETF Trust</v>
      </c>
      <c r="D39" s="21"/>
      <c r="E39" s="21"/>
      <c r="F39" s="7" t="e">
        <f>N8*($H$35+$I$35)/G39-D30</f>
        <v>#DIV/0!</v>
      </c>
      <c r="G39" s="95">
        <f>H30</f>
        <v>8640.0720476806637</v>
      </c>
      <c r="H39" s="21"/>
      <c r="I39" s="70"/>
      <c r="J39" s="21"/>
      <c r="K39" s="21"/>
      <c r="L39" s="21"/>
      <c r="M39" s="21"/>
      <c r="N39" s="21"/>
      <c r="O39" s="21"/>
    </row>
    <row r="40" spans="2:16" ht="15.5" outlineLevel="1" thickTop="1" thickBot="1" x14ac:dyDescent="0.4">
      <c r="B40" s="3" t="str">
        <f t="shared" ref="B40:C40" si="9">B18</f>
        <v>QQQ</v>
      </c>
      <c r="C40" s="3" t="str">
        <f t="shared" si="9"/>
        <v>Invesco QQQ Trust</v>
      </c>
      <c r="D40" s="21"/>
      <c r="E40" s="21"/>
      <c r="F40" s="7" t="e">
        <f t="shared" ref="F40:F41" si="10">N9*($H$35+$I$35)/G40-D31</f>
        <v>#DIV/0!</v>
      </c>
      <c r="G40" s="95">
        <f>H31</f>
        <v>11044.556584106445</v>
      </c>
      <c r="H40" s="21"/>
      <c r="I40" s="70"/>
      <c r="J40" s="21"/>
      <c r="K40" s="21"/>
      <c r="L40" s="21"/>
      <c r="M40" s="21"/>
      <c r="N40" s="21"/>
      <c r="O40" s="21"/>
    </row>
    <row r="41" spans="2:16" ht="15.5" outlineLevel="1" thickTop="1" thickBot="1" x14ac:dyDescent="0.4">
      <c r="B41" s="3" t="str">
        <f t="shared" ref="B41:C41" si="11">B19</f>
        <v>VOO</v>
      </c>
      <c r="C41" s="3" t="str">
        <f t="shared" si="11"/>
        <v>Vanguard S&amp;P 500 ETF</v>
      </c>
      <c r="D41" s="21"/>
      <c r="E41" s="21"/>
      <c r="F41" s="7" t="e">
        <f t="shared" si="10"/>
        <v>#DIV/0!</v>
      </c>
      <c r="G41" s="95">
        <f>H32</f>
        <v>11275.04493178711</v>
      </c>
      <c r="H41" s="21"/>
      <c r="I41" s="70"/>
      <c r="J41" s="21"/>
      <c r="K41" s="21"/>
      <c r="L41" s="21"/>
      <c r="M41" s="21"/>
      <c r="N41" s="21"/>
      <c r="O41" s="21"/>
    </row>
    <row r="42" spans="2:16" ht="15" thickTop="1" x14ac:dyDescent="0.35"/>
  </sheetData>
  <sheetProtection algorithmName="SHA-512" hashValue="WVVWNVP03iSH2m4hZVbuRaXbkpMkZJTZY0Nlbzvvlr26s5qtWyGrr3RLOziWuXELtVvd0OONOZ3YNyPfgMUkTw==" saltValue="iNbFgeSaglOpsst8vRyeXQ==" spinCount="100000" sheet="1" objects="1" scenarios="1" formatRows="0"/>
  <mergeCells count="13">
    <mergeCell ref="F2:G2"/>
    <mergeCell ref="K27:N27"/>
    <mergeCell ref="K5:N5"/>
    <mergeCell ref="N16:O16"/>
    <mergeCell ref="B2:C2"/>
    <mergeCell ref="D5:J5"/>
    <mergeCell ref="B3:C3"/>
    <mergeCell ref="N38:O38"/>
    <mergeCell ref="B24:K25"/>
    <mergeCell ref="O36:P36"/>
    <mergeCell ref="D27:J27"/>
    <mergeCell ref="B23:D23"/>
    <mergeCell ref="B27:C27"/>
  </mergeCells>
  <conditionalFormatting sqref="J7:J10 J29:J32">
    <cfRule type="cellIs" dxfId="13" priority="25" operator="lessThan">
      <formula>0</formula>
    </cfRule>
    <cfRule type="cellIs" dxfId="12" priority="26" operator="greaterThan">
      <formula>0</formula>
    </cfRule>
  </conditionalFormatting>
  <conditionalFormatting sqref="J13:J15">
    <cfRule type="cellIs" dxfId="11" priority="23" operator="lessThan">
      <formula>0</formula>
    </cfRule>
    <cfRule type="cellIs" dxfId="10" priority="24" operator="greaterThan">
      <formula>0</formula>
    </cfRule>
  </conditionalFormatting>
  <conditionalFormatting sqref="J35:J36">
    <cfRule type="cellIs" dxfId="9" priority="1" operator="lessThan">
      <formula>0</formula>
    </cfRule>
    <cfRule type="cellIs" dxfId="8" priority="2" operator="greaterThan">
      <formula>0</formula>
    </cfRule>
  </conditionalFormatting>
  <conditionalFormatting sqref="K7:K10 K11:L12 K29:K33">
    <cfRule type="cellIs" dxfId="7" priority="28" operator="lessThan">
      <formula>D7</formula>
    </cfRule>
    <cfRule type="cellIs" dxfId="6" priority="29" operator="greaterThan">
      <formula>D7</formula>
    </cfRule>
  </conditionalFormatting>
  <conditionalFormatting sqref="L33 K34:L34">
    <cfRule type="cellIs" dxfId="5" priority="20" operator="lessThan">
      <formula>D33</formula>
    </cfRule>
    <cfRule type="cellIs" dxfId="4" priority="21" operator="greaterThan">
      <formula>D33</formula>
    </cfRule>
  </conditionalFormatting>
  <conditionalFormatting sqref="O7:O12">
    <cfRule type="dataBar" priority="81">
      <dataBar>
        <cfvo type="min"/>
        <cfvo type="max"/>
        <color rgb="FF638EC6"/>
      </dataBar>
      <extLst>
        <ext xmlns:x14="http://schemas.microsoft.com/office/spreadsheetml/2009/9/main" uri="{B025F937-C7B1-47D3-B67F-A62EFF666E3E}">
          <x14:id>{86A14078-2EFB-48A7-8E28-59CB16F3CD6D}</x14:id>
        </ext>
      </extLst>
    </cfRule>
  </conditionalFormatting>
  <conditionalFormatting sqref="O29:O33">
    <cfRule type="dataBar" priority="88">
      <dataBar>
        <cfvo type="min"/>
        <cfvo type="max"/>
        <color rgb="FF638EC6"/>
      </dataBar>
      <extLst>
        <ext xmlns:x14="http://schemas.microsoft.com/office/spreadsheetml/2009/9/main" uri="{B025F937-C7B1-47D3-B67F-A62EFF666E3E}">
          <x14:id>{26210A05-C5F0-43B8-B71E-A0A8346D5622}</x14:id>
        </ext>
      </extLst>
    </cfRule>
  </conditionalFormatting>
  <conditionalFormatting sqref="O35">
    <cfRule type="dataBar" priority="9">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35">
    <cfRule type="containsText" dxfId="3" priority="5" operator="containsText" text="Mala">
      <formula>NOT(ISERROR(SEARCH("Mala",P35)))</formula>
    </cfRule>
    <cfRule type="containsText" dxfId="2" priority="6" operator="containsText" text="Regular">
      <formula>NOT(ISERROR(SEARCH("Regular",P35)))</formula>
    </cfRule>
    <cfRule type="containsText" dxfId="1" priority="7" operator="containsText" text="Buena">
      <formula>NOT(ISERROR(SEARCH("Buena",P35)))</formula>
    </cfRule>
    <cfRule type="containsText" dxfId="0" priority="8" operator="containsText" text="Excelente">
      <formula>NOT(ISERROR(SEARCH("Excelente",P35)))</formula>
    </cfRule>
  </conditionalFormatting>
  <dataValidations count="1">
    <dataValidation type="list" allowBlank="1" showInputMessage="1" showErrorMessage="1" sqref="H2" xr:uid="{97A1B546-216E-42E1-8820-CF7477C1CE31}">
      <formula1>$J$2:$J$3</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O7:O12</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O29:O33</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O35</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E8"/>
  <sheetViews>
    <sheetView showGridLines="0" showRowColHeaders="0" zoomScale="90" zoomScaleNormal="90" workbookViewId="0">
      <selection activeCell="C7" sqref="C7"/>
    </sheetView>
  </sheetViews>
  <sheetFormatPr baseColWidth="10" defaultRowHeight="14.5" x14ac:dyDescent="0.35"/>
  <cols>
    <col min="1" max="1" width="17.26953125" customWidth="1"/>
    <col min="3" max="3" width="11.1796875" bestFit="1" customWidth="1"/>
  </cols>
  <sheetData>
    <row r="1" spans="1:5" ht="15" thickBot="1" x14ac:dyDescent="0.4">
      <c r="B1" s="122" t="s">
        <v>101</v>
      </c>
      <c r="C1" s="123" t="s">
        <v>102</v>
      </c>
      <c r="D1" s="122" t="s">
        <v>98</v>
      </c>
      <c r="E1" s="123" t="s">
        <v>99</v>
      </c>
    </row>
    <row r="2" spans="1:5" ht="15.5" thickTop="1" thickBot="1" x14ac:dyDescent="0.4">
      <c r="A2" s="1" t="s">
        <v>1</v>
      </c>
      <c r="B2" s="32" t="s">
        <v>3</v>
      </c>
      <c r="C2" s="32" t="s">
        <v>89</v>
      </c>
      <c r="D2" s="32" t="s">
        <v>3</v>
      </c>
      <c r="E2" s="32" t="s">
        <v>89</v>
      </c>
    </row>
    <row r="3" spans="1:5" ht="15.5" thickTop="1" thickBot="1" x14ac:dyDescent="0.4">
      <c r="A3" s="3" t="s">
        <v>71</v>
      </c>
      <c r="B3" s="38">
        <v>255</v>
      </c>
      <c r="C3" s="5">
        <v>16320</v>
      </c>
      <c r="D3" s="38">
        <v>0</v>
      </c>
      <c r="E3" s="5">
        <v>0</v>
      </c>
    </row>
    <row r="4" spans="1:5" ht="15.5" thickTop="1" thickBot="1" x14ac:dyDescent="0.4">
      <c r="A4" s="3" t="s">
        <v>72</v>
      </c>
      <c r="B4" s="119">
        <v>0</v>
      </c>
      <c r="C4" s="5">
        <v>0</v>
      </c>
      <c r="D4" s="119">
        <v>1.4376455285231149</v>
      </c>
      <c r="E4" s="5">
        <v>12736.509809994253</v>
      </c>
    </row>
    <row r="5" spans="1:5" ht="15.5" thickTop="1" thickBot="1" x14ac:dyDescent="0.4">
      <c r="A5" s="3" t="s">
        <v>73</v>
      </c>
      <c r="B5" s="119">
        <v>1.4189624762469515</v>
      </c>
      <c r="C5" s="5">
        <v>15671.811359633253</v>
      </c>
      <c r="D5" s="119">
        <v>1.4251434989148304</v>
      </c>
      <c r="E5" s="5">
        <v>15169.178485823997</v>
      </c>
    </row>
    <row r="6" spans="1:5" ht="15.5" thickTop="1" thickBot="1" x14ac:dyDescent="0.4">
      <c r="A6" s="3" t="s">
        <v>74</v>
      </c>
      <c r="B6" s="119">
        <v>1.3717596677064852</v>
      </c>
      <c r="C6" s="5">
        <v>15466.651889003975</v>
      </c>
      <c r="D6" s="119">
        <v>1.3652460395598831</v>
      </c>
      <c r="E6" s="5">
        <v>15315.289549915069</v>
      </c>
    </row>
    <row r="7" spans="1:5" ht="15.5" thickTop="1" thickBot="1" x14ac:dyDescent="0.4">
      <c r="A7" s="3" t="s">
        <v>7</v>
      </c>
      <c r="B7" s="38">
        <v>1</v>
      </c>
      <c r="C7" s="5">
        <v>790.22518336098278</v>
      </c>
      <c r="D7" s="38">
        <v>1</v>
      </c>
      <c r="E7" s="5">
        <v>614.07461664642665</v>
      </c>
    </row>
    <row r="8" spans="1:5" ht="15" thickTop="1" x14ac:dyDescent="0.35">
      <c r="A8" s="105" t="s">
        <v>10</v>
      </c>
      <c r="C8" s="106">
        <f>SUM(C3:C7)</f>
        <v>48248.688431998213</v>
      </c>
      <c r="E8" s="106">
        <f>SUM(E3:E7)</f>
        <v>43835.052462379739</v>
      </c>
    </row>
  </sheetData>
  <sheetProtection algorithmName="SHA-512" hashValue="h8xATEDEcsun1n+7JCJ9euB/+y6EQ9yh2f49dyny9ZBZnSAV0NoV3pt3d/cAMV/uuSNcHHAR0EVGT6TnGJlCwg==" saltValue="gcuXPwpKXOitvnBGQh/UCw==" spinCount="100000" sheet="1" objects="1" scenarios="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Estrategia</vt:lpstr>
      <vt:lpstr>Portafolio Actual</vt:lpstr>
      <vt:lpstr>Último rebalanceo</vt:lpstr>
      <vt:lpstr>12M anteriores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2026-01-04T02:01:33Z</dcterms:modified>
</cp:coreProperties>
</file>