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hidePivotFieldList="1"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0" documentId="8_{B59C44A1-D737-43D3-AD36-800B79C2D512}" xr6:coauthVersionLast="47" xr6:coauthVersionMax="47" xr10:uidLastSave="{00000000-0000-0000-0000-000000000000}"/>
  <bookViews>
    <workbookView xWindow="-110" yWindow="-110" windowWidth="19420" windowHeight="11500" firstSheet="1" activeTab="1" xr2:uid="{C004D953-8412-493E-A910-A95265F3CA5A}"/>
  </bookViews>
  <sheets>
    <sheet name="Instrucciones" sheetId="2" r:id="rId1"/>
    <sheet name="Estrategia" sheetId="4" r:id="rId2"/>
    <sheet name="Portafolio Actual" sheetId="1" r:id="rId3"/>
    <sheet name="Último rebalanceo" sheetId="3" r:id="rId4"/>
    <sheet name="12M anteriores" sheetId="5" r:id="rId5"/>
    <sheet name="GICS" sheetId="6" r:id="rId6"/>
  </sheets>
  <externalReferences>
    <externalReference r:id="rId7"/>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 i="1" l="1"/>
  <c r="D8" i="1"/>
  <c r="D9" i="1"/>
  <c r="D10" i="1"/>
  <c r="D11" i="1"/>
  <c r="D12" i="1"/>
  <c r="D13" i="1"/>
  <c r="D14" i="1"/>
  <c r="D15" i="1"/>
  <c r="D16" i="1"/>
  <c r="D17" i="1"/>
  <c r="D18" i="1"/>
  <c r="D19" i="1"/>
  <c r="D20" i="1"/>
  <c r="D21" i="1"/>
  <c r="D22" i="1"/>
  <c r="D23" i="1"/>
  <c r="D24" i="1"/>
  <c r="D25" i="1"/>
  <c r="D26" i="1"/>
  <c r="D27" i="1"/>
  <c r="D28" i="1"/>
  <c r="D29" i="1"/>
  <c r="D30" i="1"/>
  <c r="D31" i="1"/>
  <c r="D32" i="1"/>
  <c r="D33" i="1"/>
  <c r="D34" i="1"/>
  <c r="D35" i="1"/>
  <c r="D36" i="1"/>
  <c r="D37" i="1"/>
  <c r="D38" i="1"/>
  <c r="D39" i="1"/>
  <c r="D40" i="1"/>
  <c r="D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6" i="1"/>
  <c r="E7" i="1"/>
  <c r="E8" i="1"/>
  <c r="E9" i="1"/>
  <c r="E10" i="1"/>
  <c r="E11" i="1"/>
  <c r="E12" i="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6" i="1"/>
  <c r="D41" i="1"/>
  <c r="B6" i="1" a="1"/>
  <c r="B6" i="1" s="1"/>
  <c r="B7" i="1" a="1"/>
  <c r="B7" i="1" s="1"/>
  <c r="B8" i="1" a="1"/>
  <c r="B8" i="1" s="1"/>
  <c r="B9" i="1" a="1"/>
  <c r="B9" i="1" s="1"/>
  <c r="B10" i="1" a="1"/>
  <c r="B10" i="1" s="1"/>
  <c r="B11" i="1" a="1"/>
  <c r="B11" i="1" s="1"/>
  <c r="B12" i="1" a="1"/>
  <c r="B12" i="1" s="1"/>
  <c r="B13" i="1" a="1"/>
  <c r="B13" i="1" s="1"/>
  <c r="B14" i="1" a="1"/>
  <c r="B14" i="1" s="1"/>
  <c r="B15" i="1" a="1"/>
  <c r="B15" i="1" s="1"/>
  <c r="B16" i="1" a="1"/>
  <c r="B16" i="1" s="1"/>
  <c r="B17" i="1" a="1"/>
  <c r="B17" i="1" s="1"/>
  <c r="B18" i="1" a="1"/>
  <c r="B18" i="1" s="1"/>
  <c r="B19" i="1" a="1"/>
  <c r="B19" i="1" s="1"/>
  <c r="B20" i="1" a="1"/>
  <c r="B20" i="1" s="1"/>
  <c r="B21" i="1" a="1"/>
  <c r="B21" i="1" s="1"/>
  <c r="B22" i="1" a="1"/>
  <c r="B22" i="1" s="1"/>
  <c r="B23" i="1" a="1"/>
  <c r="B23" i="1" s="1"/>
  <c r="B24" i="1" a="1"/>
  <c r="B24" i="1" s="1"/>
  <c r="B25" i="1" a="1"/>
  <c r="B25" i="1" s="1"/>
  <c r="B26" i="1" a="1"/>
  <c r="B26" i="1" s="1"/>
  <c r="B27" i="1" a="1"/>
  <c r="B27" i="1" s="1"/>
  <c r="B28" i="1" a="1"/>
  <c r="B28" i="1" s="1"/>
  <c r="B29" i="1" a="1"/>
  <c r="B29" i="1" s="1"/>
  <c r="B30" i="1" a="1"/>
  <c r="B30" i="1" s="1"/>
  <c r="B31" i="1" a="1"/>
  <c r="B31" i="1" s="1"/>
  <c r="B32" i="1" a="1"/>
  <c r="B32" i="1" s="1"/>
  <c r="B33" i="1" a="1"/>
  <c r="B33" i="1" s="1"/>
  <c r="B34" i="1" a="1"/>
  <c r="B34" i="1" s="1"/>
  <c r="B35" i="1" a="1"/>
  <c r="B35" i="1" s="1"/>
  <c r="B36" i="1" a="1"/>
  <c r="B36" i="1" s="1"/>
  <c r="B37" i="1" a="1"/>
  <c r="B37" i="1" s="1"/>
  <c r="B38" i="1" a="1"/>
  <c r="B38" i="1" s="1"/>
  <c r="B39" i="1" a="1"/>
  <c r="B39" i="1" s="1"/>
  <c r="B40" i="1" a="1"/>
  <c r="B40" i="1" s="1"/>
  <c r="E4" i="5"/>
  <c r="E5" i="5"/>
  <c r="E6" i="5"/>
  <c r="E7" i="5"/>
  <c r="E8" i="5"/>
  <c r="E9" i="5"/>
  <c r="E10" i="5"/>
  <c r="E11" i="5"/>
  <c r="E12" i="5"/>
  <c r="E13" i="5"/>
  <c r="E14" i="5"/>
  <c r="E15" i="5"/>
  <c r="E16" i="5"/>
  <c r="E17" i="5"/>
  <c r="E18" i="5"/>
  <c r="E19" i="5"/>
  <c r="E20" i="5"/>
  <c r="E21" i="5"/>
  <c r="E22" i="5"/>
  <c r="E23" i="5"/>
  <c r="E24" i="5"/>
  <c r="E25" i="5"/>
  <c r="E26" i="5"/>
  <c r="E27" i="5"/>
  <c r="E28" i="5"/>
  <c r="E29" i="5"/>
  <c r="E30" i="5"/>
  <c r="E31" i="5"/>
  <c r="E32" i="5"/>
  <c r="E33" i="5"/>
  <c r="E34" i="5"/>
  <c r="E35" i="5"/>
  <c r="E36" i="5"/>
  <c r="E37" i="5"/>
  <c r="E38" i="5"/>
  <c r="E39" i="5"/>
  <c r="E40" i="5"/>
  <c r="E41" i="5"/>
  <c r="E3" i="5"/>
  <c r="B50" i="3"/>
  <c r="K43" i="3"/>
  <c r="K44" i="3"/>
  <c r="K45" i="3"/>
  <c r="B180" i="3" l="1"/>
  <c r="I99" i="3"/>
  <c r="I100" i="3"/>
  <c r="I101" i="3"/>
  <c r="I102" i="3"/>
  <c r="I103" i="3"/>
  <c r="I104" i="3"/>
  <c r="I105" i="3"/>
  <c r="I106" i="3"/>
  <c r="I107" i="3"/>
  <c r="I108" i="3"/>
  <c r="I109" i="3"/>
  <c r="I110" i="3"/>
  <c r="I111" i="3"/>
  <c r="I112" i="3"/>
  <c r="I113" i="3"/>
  <c r="I114" i="3"/>
  <c r="I115" i="3"/>
  <c r="I116" i="3"/>
  <c r="I117" i="3"/>
  <c r="I118" i="3"/>
  <c r="I119" i="3"/>
  <c r="I120" i="3"/>
  <c r="I121" i="3"/>
  <c r="I122" i="3"/>
  <c r="I123" i="3"/>
  <c r="I124" i="3"/>
  <c r="I125" i="3"/>
  <c r="I126" i="3"/>
  <c r="I127" i="3"/>
  <c r="I128" i="3"/>
  <c r="I129" i="3"/>
  <c r="I130" i="3"/>
  <c r="I131" i="3"/>
  <c r="I132" i="3"/>
  <c r="I133" i="3"/>
  <c r="I134" i="3"/>
  <c r="I135" i="3"/>
  <c r="I136" i="3"/>
  <c r="I98" i="3"/>
  <c r="F133" i="3"/>
  <c r="H133" i="3"/>
  <c r="E177" i="3" s="1"/>
  <c r="F134" i="3"/>
  <c r="H134" i="3"/>
  <c r="E178" i="3" s="1"/>
  <c r="F135" i="3"/>
  <c r="H135" i="3"/>
  <c r="E179" i="3" s="1"/>
  <c r="F136" i="3"/>
  <c r="H136" i="3"/>
  <c r="E180" i="3" s="1"/>
  <c r="B99" i="3"/>
  <c r="B100" i="3"/>
  <c r="B101" i="3"/>
  <c r="B102" i="3"/>
  <c r="B103" i="3"/>
  <c r="B104" i="3"/>
  <c r="B105" i="3"/>
  <c r="B106" i="3"/>
  <c r="B107" i="3"/>
  <c r="B108" i="3"/>
  <c r="B109" i="3"/>
  <c r="B110" i="3"/>
  <c r="B111" i="3"/>
  <c r="B112" i="3"/>
  <c r="B113" i="3"/>
  <c r="B114" i="3"/>
  <c r="B115" i="3"/>
  <c r="B116" i="3"/>
  <c r="B117" i="3"/>
  <c r="B118" i="3"/>
  <c r="B119" i="3"/>
  <c r="B120" i="3"/>
  <c r="B121" i="3"/>
  <c r="B122" i="3"/>
  <c r="B123" i="3"/>
  <c r="B124" i="3"/>
  <c r="B125" i="3"/>
  <c r="B126" i="3"/>
  <c r="B127" i="3"/>
  <c r="B128" i="3"/>
  <c r="B129" i="3"/>
  <c r="B130" i="3"/>
  <c r="B131" i="3"/>
  <c r="B132" i="3"/>
  <c r="B133" i="3"/>
  <c r="B134" i="3"/>
  <c r="B135" i="3"/>
  <c r="B136" i="3"/>
  <c r="B98" i="3"/>
  <c r="E86" i="3"/>
  <c r="E87" i="3"/>
  <c r="E88" i="3"/>
  <c r="E89" i="3"/>
  <c r="E85" i="3"/>
  <c r="B52" i="3"/>
  <c r="B143" i="3" s="1"/>
  <c r="B53" i="3"/>
  <c r="B144" i="3" s="1"/>
  <c r="B54" i="3"/>
  <c r="B145" i="3" s="1"/>
  <c r="B55" i="3"/>
  <c r="B146" i="3" s="1"/>
  <c r="B56" i="3"/>
  <c r="B147" i="3" s="1"/>
  <c r="B57" i="3"/>
  <c r="B148" i="3" s="1"/>
  <c r="B58" i="3"/>
  <c r="B149" i="3" s="1"/>
  <c r="B59" i="3"/>
  <c r="B150" i="3" s="1"/>
  <c r="B60" i="3"/>
  <c r="B151" i="3" s="1"/>
  <c r="B61" i="3"/>
  <c r="B152" i="3" s="1"/>
  <c r="B62" i="3"/>
  <c r="B153" i="3" s="1"/>
  <c r="B63" i="3"/>
  <c r="B154" i="3" s="1"/>
  <c r="B64" i="3"/>
  <c r="B155" i="3" s="1"/>
  <c r="B65" i="3"/>
  <c r="B156" i="3" s="1"/>
  <c r="B66" i="3"/>
  <c r="B157" i="3" s="1"/>
  <c r="B67" i="3"/>
  <c r="B158" i="3" s="1"/>
  <c r="B68" i="3"/>
  <c r="B159" i="3" s="1"/>
  <c r="B69" i="3"/>
  <c r="B160" i="3" s="1"/>
  <c r="B70" i="3"/>
  <c r="B161" i="3" s="1"/>
  <c r="B71" i="3"/>
  <c r="B162" i="3" s="1"/>
  <c r="B72" i="3"/>
  <c r="B163" i="3" s="1"/>
  <c r="B73" i="3"/>
  <c r="B164" i="3" s="1"/>
  <c r="B74" i="3"/>
  <c r="B165" i="3" s="1"/>
  <c r="B75" i="3"/>
  <c r="B166" i="3" s="1"/>
  <c r="B76" i="3"/>
  <c r="B167" i="3" s="1"/>
  <c r="B77" i="3"/>
  <c r="B168" i="3" s="1"/>
  <c r="B78" i="3"/>
  <c r="B169" i="3" s="1"/>
  <c r="B79" i="3"/>
  <c r="B170" i="3" s="1"/>
  <c r="B80" i="3"/>
  <c r="B171" i="3" s="1"/>
  <c r="B81" i="3"/>
  <c r="B172" i="3" s="1"/>
  <c r="B82" i="3"/>
  <c r="B173" i="3" s="1"/>
  <c r="B83" i="3"/>
  <c r="B174" i="3" s="1"/>
  <c r="B84" i="3"/>
  <c r="B175" i="3" s="1"/>
  <c r="B85" i="3"/>
  <c r="B176" i="3" s="1"/>
  <c r="B86" i="3"/>
  <c r="B177" i="3" s="1"/>
  <c r="B87" i="3"/>
  <c r="B178" i="3" s="1"/>
  <c r="B88" i="3"/>
  <c r="B179" i="3" s="1"/>
  <c r="B89" i="3"/>
  <c r="B51" i="3"/>
  <c r="B142" i="3" s="1"/>
  <c r="L43" i="3"/>
  <c r="M43" i="3"/>
  <c r="L44" i="3"/>
  <c r="M44" i="3"/>
  <c r="L45" i="3"/>
  <c r="M45" i="3"/>
  <c r="J42" i="3"/>
  <c r="J43" i="3"/>
  <c r="J44" i="3"/>
  <c r="J45" i="3"/>
  <c r="C8" i="3"/>
  <c r="C52" i="3" s="1"/>
  <c r="C9" i="3"/>
  <c r="C53" i="3" s="1"/>
  <c r="C10" i="3"/>
  <c r="C54" i="3" s="1"/>
  <c r="C11" i="3"/>
  <c r="C102" i="3" s="1"/>
  <c r="C12" i="3"/>
  <c r="C56" i="3" s="1"/>
  <c r="C13" i="3"/>
  <c r="C57" i="3" s="1"/>
  <c r="C14" i="3"/>
  <c r="C58" i="3" s="1"/>
  <c r="C15" i="3"/>
  <c r="C59" i="3" s="1"/>
  <c r="C16" i="3"/>
  <c r="C60" i="3" s="1"/>
  <c r="C17" i="3"/>
  <c r="C61" i="3" s="1"/>
  <c r="C18" i="3"/>
  <c r="C62" i="3" s="1"/>
  <c r="C19" i="3"/>
  <c r="C63" i="3" s="1"/>
  <c r="C20" i="3"/>
  <c r="C64" i="3" s="1"/>
  <c r="C21" i="3"/>
  <c r="C65" i="3" s="1"/>
  <c r="C22" i="3"/>
  <c r="C23" i="3"/>
  <c r="C67" i="3" s="1"/>
  <c r="C24" i="3"/>
  <c r="C68" i="3" s="1"/>
  <c r="C25" i="3"/>
  <c r="C69" i="3" s="1"/>
  <c r="C26" i="3"/>
  <c r="C70" i="3" s="1"/>
  <c r="C27" i="3"/>
  <c r="C71" i="3" s="1"/>
  <c r="C28" i="3"/>
  <c r="C72" i="3" s="1"/>
  <c r="C29" i="3"/>
  <c r="C73" i="3" s="1"/>
  <c r="C30" i="3"/>
  <c r="C121" i="3" s="1"/>
  <c r="C31" i="3"/>
  <c r="C122" i="3" s="1"/>
  <c r="C32" i="3"/>
  <c r="C123" i="3" s="1"/>
  <c r="C33" i="3"/>
  <c r="C77" i="3" s="1"/>
  <c r="C34" i="3"/>
  <c r="C78" i="3" s="1"/>
  <c r="C35" i="3"/>
  <c r="C79" i="3" s="1"/>
  <c r="C36" i="3"/>
  <c r="C37" i="3"/>
  <c r="C81" i="3" s="1"/>
  <c r="C38" i="3"/>
  <c r="C82" i="3" s="1"/>
  <c r="C39" i="3"/>
  <c r="C83" i="3" s="1"/>
  <c r="C40" i="3"/>
  <c r="C84" i="3" s="1"/>
  <c r="C41" i="3"/>
  <c r="C85" i="3" s="1"/>
  <c r="C176" i="3" s="1"/>
  <c r="C42" i="3"/>
  <c r="C86" i="3" s="1"/>
  <c r="C177" i="3" s="1"/>
  <c r="C43" i="3"/>
  <c r="C87" i="3" s="1"/>
  <c r="C178" i="3" s="1"/>
  <c r="C44" i="3"/>
  <c r="C88" i="3" s="1"/>
  <c r="C179" i="3" s="1"/>
  <c r="C45" i="3"/>
  <c r="C89" i="3" s="1"/>
  <c r="C180" i="3" s="1"/>
  <c r="C7" i="3"/>
  <c r="C51" i="3" s="1"/>
  <c r="B141" i="3"/>
  <c r="E43" i="5"/>
  <c r="C43" i="5"/>
  <c r="D2" i="1"/>
  <c r="F48" i="3"/>
  <c r="G42" i="3" s="1"/>
  <c r="I48" i="3"/>
  <c r="E51" i="3"/>
  <c r="J41" i="3"/>
  <c r="H46" i="3"/>
  <c r="C66" i="3" l="1"/>
  <c r="C157" i="3" s="1"/>
  <c r="C113" i="3"/>
  <c r="C80" i="3"/>
  <c r="C171" i="3" s="1"/>
  <c r="C127" i="3"/>
  <c r="H48" i="3"/>
  <c r="J135" i="3"/>
  <c r="J134" i="3"/>
  <c r="C131" i="3"/>
  <c r="J133" i="3"/>
  <c r="C104" i="3"/>
  <c r="C103" i="3"/>
  <c r="C116" i="3"/>
  <c r="J136" i="3"/>
  <c r="C115" i="3"/>
  <c r="C55" i="3"/>
  <c r="C146" i="3" s="1"/>
  <c r="C132" i="3"/>
  <c r="C114" i="3"/>
  <c r="C130" i="3"/>
  <c r="C101" i="3"/>
  <c r="C75" i="3"/>
  <c r="C166" i="3" s="1"/>
  <c r="C129" i="3"/>
  <c r="C118" i="3"/>
  <c r="C100" i="3"/>
  <c r="C74" i="3"/>
  <c r="C165" i="3" s="1"/>
  <c r="C128" i="3"/>
  <c r="C117" i="3"/>
  <c r="C99" i="3"/>
  <c r="C136" i="3"/>
  <c r="C108" i="3"/>
  <c r="C135" i="3"/>
  <c r="C107" i="3"/>
  <c r="C134" i="3"/>
  <c r="C120" i="3"/>
  <c r="C106" i="3"/>
  <c r="C76" i="3"/>
  <c r="C167" i="3" s="1"/>
  <c r="C133" i="3"/>
  <c r="C126" i="3"/>
  <c r="C119" i="3"/>
  <c r="C112" i="3"/>
  <c r="C105" i="3"/>
  <c r="C125" i="3"/>
  <c r="C111" i="3"/>
  <c r="C124" i="3"/>
  <c r="C110" i="3"/>
  <c r="C109" i="3"/>
  <c r="C98" i="3"/>
  <c r="G44" i="3"/>
  <c r="G43" i="3"/>
  <c r="G45" i="3"/>
  <c r="B89" i="1"/>
  <c r="L41" i="1"/>
  <c r="E41" i="1"/>
  <c r="F132" i="3"/>
  <c r="H132" i="3"/>
  <c r="E176" i="3" s="1"/>
  <c r="F99" i="3"/>
  <c r="H99" i="3"/>
  <c r="F100" i="3"/>
  <c r="H100" i="3"/>
  <c r="F101" i="3"/>
  <c r="H101" i="3"/>
  <c r="F102" i="3"/>
  <c r="H102" i="3"/>
  <c r="F103" i="3"/>
  <c r="H103" i="3"/>
  <c r="F104" i="3"/>
  <c r="H104" i="3"/>
  <c r="F105" i="3"/>
  <c r="H105" i="3"/>
  <c r="F106" i="3"/>
  <c r="H106" i="3"/>
  <c r="F107" i="3"/>
  <c r="H107" i="3"/>
  <c r="F108" i="3"/>
  <c r="H108" i="3"/>
  <c r="F109" i="3"/>
  <c r="H109" i="3"/>
  <c r="F110" i="3"/>
  <c r="H110" i="3"/>
  <c r="F111" i="3"/>
  <c r="H111" i="3"/>
  <c r="F112" i="3"/>
  <c r="H112" i="3"/>
  <c r="F113" i="3"/>
  <c r="H113" i="3"/>
  <c r="F114" i="3"/>
  <c r="H114" i="3"/>
  <c r="F115" i="3"/>
  <c r="H115" i="3"/>
  <c r="F116" i="3"/>
  <c r="H116" i="3"/>
  <c r="F117" i="3"/>
  <c r="H117" i="3"/>
  <c r="E161" i="3" s="1"/>
  <c r="F118" i="3"/>
  <c r="H118" i="3"/>
  <c r="E162" i="3" s="1"/>
  <c r="F119" i="3"/>
  <c r="H119" i="3"/>
  <c r="E163" i="3" s="1"/>
  <c r="F120" i="3"/>
  <c r="H120" i="3"/>
  <c r="E164" i="3" s="1"/>
  <c r="F121" i="3"/>
  <c r="H121" i="3"/>
  <c r="E165" i="3" s="1"/>
  <c r="F122" i="3"/>
  <c r="H122" i="3"/>
  <c r="E166" i="3" s="1"/>
  <c r="F123" i="3"/>
  <c r="H123" i="3"/>
  <c r="F124" i="3"/>
  <c r="H124" i="3"/>
  <c r="E168" i="3" s="1"/>
  <c r="F125" i="3"/>
  <c r="H125" i="3"/>
  <c r="E169" i="3" s="1"/>
  <c r="F126" i="3"/>
  <c r="H126" i="3"/>
  <c r="E170" i="3" s="1"/>
  <c r="F127" i="3"/>
  <c r="H127" i="3"/>
  <c r="E171" i="3" s="1"/>
  <c r="F128" i="3"/>
  <c r="H128" i="3"/>
  <c r="E172" i="3" s="1"/>
  <c r="F129" i="3"/>
  <c r="H129" i="3"/>
  <c r="E173" i="3" s="1"/>
  <c r="F130" i="3"/>
  <c r="H130" i="3"/>
  <c r="E174" i="3" s="1"/>
  <c r="F131" i="3"/>
  <c r="H131" i="3"/>
  <c r="E175" i="3" s="1"/>
  <c r="E52" i="3"/>
  <c r="E53" i="3"/>
  <c r="E54" i="3"/>
  <c r="E55" i="3"/>
  <c r="E56" i="3"/>
  <c r="E57" i="3"/>
  <c r="E58" i="3"/>
  <c r="E59" i="3"/>
  <c r="E60" i="3"/>
  <c r="E61" i="3"/>
  <c r="E62" i="3"/>
  <c r="E63" i="3"/>
  <c r="E64" i="3"/>
  <c r="E65" i="3"/>
  <c r="E66" i="3"/>
  <c r="E67" i="3"/>
  <c r="E68" i="3"/>
  <c r="E69" i="3"/>
  <c r="E70" i="3"/>
  <c r="E71" i="3"/>
  <c r="E72" i="3"/>
  <c r="E73" i="3"/>
  <c r="E74" i="3"/>
  <c r="E75" i="3"/>
  <c r="E76" i="3"/>
  <c r="E77" i="3"/>
  <c r="E78" i="3"/>
  <c r="E79" i="3"/>
  <c r="E80" i="3"/>
  <c r="E81" i="3"/>
  <c r="E82" i="3"/>
  <c r="E83" i="3"/>
  <c r="E84" i="3"/>
  <c r="C175" i="3"/>
  <c r="C174" i="3"/>
  <c r="C173" i="3"/>
  <c r="C172" i="3"/>
  <c r="C170" i="3"/>
  <c r="C169" i="3"/>
  <c r="C168" i="3"/>
  <c r="C164" i="3"/>
  <c r="C163" i="3"/>
  <c r="C162" i="3"/>
  <c r="C161" i="3"/>
  <c r="C160" i="3"/>
  <c r="C159" i="3"/>
  <c r="C158" i="3"/>
  <c r="C156" i="3"/>
  <c r="C155" i="3"/>
  <c r="C154" i="3"/>
  <c r="C153" i="3"/>
  <c r="C152" i="3"/>
  <c r="C151" i="3"/>
  <c r="C150" i="3"/>
  <c r="C149" i="3"/>
  <c r="C148" i="3"/>
  <c r="C147" i="3"/>
  <c r="C145" i="3"/>
  <c r="C144" i="3"/>
  <c r="C143" i="3"/>
  <c r="C142" i="3"/>
  <c r="J46" i="3"/>
  <c r="J8" i="3"/>
  <c r="J9" i="3"/>
  <c r="J10" i="3"/>
  <c r="J11" i="3"/>
  <c r="J12" i="3"/>
  <c r="J13" i="3"/>
  <c r="J14" i="3"/>
  <c r="J15" i="3"/>
  <c r="J16" i="3"/>
  <c r="J17" i="3"/>
  <c r="J18" i="3"/>
  <c r="J19" i="3"/>
  <c r="J20" i="3"/>
  <c r="J21" i="3"/>
  <c r="J22" i="3"/>
  <c r="J23" i="3"/>
  <c r="J24" i="3"/>
  <c r="J25" i="3"/>
  <c r="J26" i="3"/>
  <c r="J27" i="3"/>
  <c r="J28" i="3"/>
  <c r="J29" i="3"/>
  <c r="J30" i="3"/>
  <c r="J31" i="3"/>
  <c r="J32" i="3"/>
  <c r="J33" i="3"/>
  <c r="J34" i="3"/>
  <c r="J35" i="3"/>
  <c r="J36" i="3"/>
  <c r="J37" i="3"/>
  <c r="J38" i="3"/>
  <c r="J39" i="3"/>
  <c r="J40" i="3"/>
  <c r="J7" i="3"/>
  <c r="J132" i="3" l="1"/>
  <c r="G77" i="1"/>
  <c r="G83" i="1"/>
  <c r="G61" i="1"/>
  <c r="G73" i="1"/>
  <c r="G59" i="1"/>
  <c r="G72" i="1"/>
  <c r="G58" i="1"/>
  <c r="G76" i="1"/>
  <c r="G57" i="1"/>
  <c r="G56" i="1"/>
  <c r="G79" i="1"/>
  <c r="G60" i="1"/>
  <c r="G65" i="1"/>
  <c r="G75" i="1"/>
  <c r="G74" i="1"/>
  <c r="G85" i="1"/>
  <c r="G70" i="1"/>
  <c r="G78" i="1"/>
  <c r="G64" i="1"/>
  <c r="G84" i="1"/>
  <c r="G63" i="1"/>
  <c r="G62" i="1"/>
  <c r="G82" i="1"/>
  <c r="G71" i="1"/>
  <c r="G69" i="1"/>
  <c r="G55" i="1"/>
  <c r="G54" i="1"/>
  <c r="G68" i="1"/>
  <c r="G88" i="1"/>
  <c r="G81" i="1"/>
  <c r="G67" i="1"/>
  <c r="G87" i="1"/>
  <c r="G80" i="1"/>
  <c r="G66" i="1"/>
  <c r="G86" i="1"/>
  <c r="J116" i="3"/>
  <c r="E130" i="1"/>
  <c r="E117" i="1"/>
  <c r="G109" i="1"/>
  <c r="E133" i="1"/>
  <c r="E129" i="1"/>
  <c r="E113" i="1"/>
  <c r="G105" i="1"/>
  <c r="J124" i="3"/>
  <c r="E125" i="1"/>
  <c r="E109" i="1"/>
  <c r="G135" i="1"/>
  <c r="J115" i="3"/>
  <c r="E121" i="1"/>
  <c r="E105" i="1"/>
  <c r="J131" i="3"/>
  <c r="E167" i="3"/>
  <c r="J123" i="3"/>
  <c r="J127" i="3"/>
  <c r="J119" i="3"/>
  <c r="J111" i="3"/>
  <c r="J107" i="3"/>
  <c r="J103" i="3"/>
  <c r="J99" i="3"/>
  <c r="J129" i="3"/>
  <c r="J125" i="3"/>
  <c r="J121" i="3"/>
  <c r="J117" i="3"/>
  <c r="J113" i="3"/>
  <c r="J109" i="3"/>
  <c r="J105" i="3"/>
  <c r="J101" i="3"/>
  <c r="J128" i="3"/>
  <c r="J120" i="3"/>
  <c r="J112" i="3"/>
  <c r="J108" i="3"/>
  <c r="J104" i="3"/>
  <c r="J100" i="3"/>
  <c r="E132" i="1"/>
  <c r="E128" i="1"/>
  <c r="E124" i="1"/>
  <c r="E120" i="1"/>
  <c r="E116" i="1"/>
  <c r="E112" i="1"/>
  <c r="E108" i="1"/>
  <c r="E104" i="1"/>
  <c r="G108" i="1"/>
  <c r="G104" i="1"/>
  <c r="G133" i="1"/>
  <c r="G129" i="1"/>
  <c r="G125" i="1"/>
  <c r="G121" i="1"/>
  <c r="G117" i="1"/>
  <c r="G113" i="1"/>
  <c r="E135" i="1"/>
  <c r="E131" i="1"/>
  <c r="E127" i="1"/>
  <c r="E123" i="1"/>
  <c r="E119" i="1"/>
  <c r="E115" i="1"/>
  <c r="E111" i="1"/>
  <c r="E107" i="1"/>
  <c r="E103" i="1"/>
  <c r="G107" i="1"/>
  <c r="G103" i="1"/>
  <c r="G132" i="1"/>
  <c r="G128" i="1"/>
  <c r="G124" i="1"/>
  <c r="G120" i="1"/>
  <c r="G116" i="1"/>
  <c r="G112" i="1"/>
  <c r="J130" i="3"/>
  <c r="J126" i="3"/>
  <c r="J122" i="3"/>
  <c r="J118" i="3"/>
  <c r="J114" i="3"/>
  <c r="J110" i="3"/>
  <c r="J106" i="3"/>
  <c r="J102" i="3"/>
  <c r="E134" i="1"/>
  <c r="E126" i="1"/>
  <c r="E122" i="1"/>
  <c r="E118" i="1"/>
  <c r="E114" i="1"/>
  <c r="E110" i="1"/>
  <c r="E106" i="1"/>
  <c r="E102" i="1"/>
  <c r="G110" i="1"/>
  <c r="G106" i="1"/>
  <c r="G102" i="1"/>
  <c r="G131" i="1"/>
  <c r="G127" i="1"/>
  <c r="G123" i="1"/>
  <c r="G119" i="1"/>
  <c r="G115" i="1"/>
  <c r="G111" i="1"/>
  <c r="G134" i="1"/>
  <c r="G130" i="1"/>
  <c r="G126" i="1"/>
  <c r="G122" i="1"/>
  <c r="G118" i="1"/>
  <c r="G114" i="1"/>
  <c r="H2" i="1"/>
  <c r="E145" i="3" l="1"/>
  <c r="E146" i="3"/>
  <c r="E149" i="3"/>
  <c r="E150" i="3"/>
  <c r="E154" i="3"/>
  <c r="E157" i="3"/>
  <c r="E158" i="3"/>
  <c r="E153" i="3" l="1"/>
  <c r="G101" i="1"/>
  <c r="E101" i="1"/>
  <c r="E160" i="3"/>
  <c r="E156" i="3"/>
  <c r="E152" i="3"/>
  <c r="E148" i="3"/>
  <c r="E144" i="3"/>
  <c r="E159" i="3"/>
  <c r="E155" i="3"/>
  <c r="E151" i="3"/>
  <c r="E147" i="3"/>
  <c r="E143" i="3"/>
  <c r="G10" i="3" l="1"/>
  <c r="G46" i="3"/>
  <c r="G11" i="3"/>
  <c r="G15" i="3"/>
  <c r="G19" i="3"/>
  <c r="G23" i="3"/>
  <c r="G27" i="3"/>
  <c r="G31" i="3"/>
  <c r="G35" i="3"/>
  <c r="G39" i="3"/>
  <c r="G13" i="3"/>
  <c r="G21" i="3"/>
  <c r="G29" i="3"/>
  <c r="G37" i="3"/>
  <c r="G14" i="3"/>
  <c r="G22" i="3"/>
  <c r="G30" i="3"/>
  <c r="G38" i="3"/>
  <c r="G8" i="3"/>
  <c r="G12" i="3"/>
  <c r="G16" i="3"/>
  <c r="G20" i="3"/>
  <c r="G24" i="3"/>
  <c r="G28" i="3"/>
  <c r="G32" i="3"/>
  <c r="G36" i="3"/>
  <c r="G40" i="3"/>
  <c r="G9" i="3"/>
  <c r="G17" i="3"/>
  <c r="G25" i="3"/>
  <c r="G33" i="3"/>
  <c r="G41" i="3"/>
  <c r="G18" i="3"/>
  <c r="G26" i="3"/>
  <c r="G34" i="3"/>
  <c r="G7" i="3"/>
  <c r="H137" i="3"/>
  <c r="J137" i="3" l="1"/>
  <c r="F98" i="3"/>
  <c r="F139" i="3" s="1"/>
  <c r="G135" i="3" l="1"/>
  <c r="G136" i="3"/>
  <c r="G137" i="3"/>
  <c r="G133" i="3"/>
  <c r="G134" i="3"/>
  <c r="G132" i="3"/>
  <c r="H98" i="3"/>
  <c r="G113" i="3" l="1"/>
  <c r="G117" i="3"/>
  <c r="G121" i="3"/>
  <c r="G122" i="3"/>
  <c r="G106" i="3"/>
  <c r="G119" i="3"/>
  <c r="G103" i="3"/>
  <c r="G116" i="3"/>
  <c r="G101" i="3"/>
  <c r="G129" i="3"/>
  <c r="G100" i="3"/>
  <c r="G102" i="3"/>
  <c r="G118" i="3"/>
  <c r="G131" i="3"/>
  <c r="G115" i="3"/>
  <c r="G128" i="3"/>
  <c r="G112" i="3"/>
  <c r="H139" i="3"/>
  <c r="J98" i="3"/>
  <c r="G109" i="3"/>
  <c r="G125" i="3"/>
  <c r="G130" i="3"/>
  <c r="G114" i="3"/>
  <c r="G127" i="3"/>
  <c r="G111" i="3"/>
  <c r="G124" i="3"/>
  <c r="G108" i="3"/>
  <c r="G98" i="3"/>
  <c r="G99" i="3"/>
  <c r="G105" i="3"/>
  <c r="G126" i="3"/>
  <c r="G110" i="3"/>
  <c r="G123" i="3"/>
  <c r="G107" i="3"/>
  <c r="G120" i="3"/>
  <c r="G104" i="3"/>
  <c r="E142" i="3"/>
  <c r="G48" i="3"/>
  <c r="I139" i="3" l="1"/>
  <c r="J140" i="3" l="1"/>
  <c r="J139" i="3"/>
  <c r="J49" i="3" l="1"/>
  <c r="J48" i="3"/>
  <c r="G139" i="3" l="1"/>
  <c r="O139" i="3" l="1" a="1"/>
  <c r="M91" i="1" l="1" a="1"/>
  <c r="K138" i="1" l="1" a="1"/>
  <c r="K40" i="3" l="1"/>
  <c r="K36" i="3"/>
  <c r="K28" i="3"/>
  <c r="K24" i="3"/>
  <c r="K16" i="3"/>
  <c r="K11" i="3"/>
  <c r="K38" i="3"/>
  <c r="K10" i="3"/>
  <c r="K41" i="3"/>
  <c r="K37" i="3"/>
  <c r="K31" i="3"/>
  <c r="K27" i="3"/>
  <c r="K25" i="3"/>
  <c r="K21" i="3"/>
  <c r="K17" i="3"/>
  <c r="K15" i="3"/>
  <c r="K14" i="3"/>
  <c r="K42" i="3"/>
  <c r="K32" i="3"/>
  <c r="K20" i="3"/>
  <c r="K12" i="3"/>
  <c r="K34" i="3"/>
  <c r="K30" i="3"/>
  <c r="K26" i="3"/>
  <c r="K22" i="3"/>
  <c r="K18" i="3"/>
  <c r="K13" i="3"/>
  <c r="K8" i="3"/>
  <c r="K35" i="3"/>
  <c r="K39" i="3"/>
  <c r="K33" i="3"/>
  <c r="K29" i="3"/>
  <c r="K23" i="3"/>
  <c r="K19" i="3"/>
  <c r="K9" i="3"/>
  <c r="M40" i="3" l="1"/>
  <c r="L40" i="3"/>
  <c r="J39" i="1" s="1"/>
  <c r="M36" i="3"/>
  <c r="L36" i="3"/>
  <c r="J35" i="1" s="1"/>
  <c r="M28" i="3"/>
  <c r="L28" i="3"/>
  <c r="J27" i="1" s="1"/>
  <c r="M24" i="3"/>
  <c r="L24" i="3"/>
  <c r="J23" i="1" s="1"/>
  <c r="M16" i="3"/>
  <c r="L16" i="3"/>
  <c r="J15" i="1" s="1"/>
  <c r="M11" i="3"/>
  <c r="L11" i="3"/>
  <c r="J10" i="1" s="1"/>
  <c r="M38" i="3"/>
  <c r="L38" i="3"/>
  <c r="J37" i="1" s="1"/>
  <c r="M10" i="3"/>
  <c r="L10" i="3"/>
  <c r="J9" i="1" s="1"/>
  <c r="M41" i="3"/>
  <c r="L41" i="3"/>
  <c r="J40" i="1" s="1"/>
  <c r="M37" i="3"/>
  <c r="L37" i="3"/>
  <c r="J36" i="1" s="1"/>
  <c r="M31" i="3"/>
  <c r="L31" i="3"/>
  <c r="J30" i="1" s="1"/>
  <c r="M27" i="3"/>
  <c r="L27" i="3"/>
  <c r="J26" i="1" s="1"/>
  <c r="M25" i="3"/>
  <c r="L25" i="3"/>
  <c r="J24" i="1" s="1"/>
  <c r="M21" i="3"/>
  <c r="L21" i="3"/>
  <c r="J20" i="1" s="1"/>
  <c r="L17" i="3"/>
  <c r="J16" i="1" s="1"/>
  <c r="M17" i="3"/>
  <c r="M15" i="3"/>
  <c r="L15" i="3"/>
  <c r="J14" i="1" s="1"/>
  <c r="M14" i="3"/>
  <c r="L14" i="3"/>
  <c r="J13" i="1" s="1"/>
  <c r="K46" i="3"/>
  <c r="K7" i="3"/>
  <c r="M42" i="3"/>
  <c r="L42" i="3"/>
  <c r="M32" i="3"/>
  <c r="L32" i="3"/>
  <c r="J31" i="1" s="1"/>
  <c r="M20" i="3"/>
  <c r="L20" i="3"/>
  <c r="J19" i="1" s="1"/>
  <c r="M12" i="3"/>
  <c r="L12" i="3"/>
  <c r="J11" i="1" s="1"/>
  <c r="M34" i="3"/>
  <c r="L34" i="3"/>
  <c r="J33" i="1" s="1"/>
  <c r="M30" i="3"/>
  <c r="L30" i="3"/>
  <c r="J29" i="1" s="1"/>
  <c r="L26" i="3"/>
  <c r="M26" i="3"/>
  <c r="H25" i="1"/>
  <c r="M22" i="3"/>
  <c r="L22" i="3"/>
  <c r="J21" i="1" s="1"/>
  <c r="L18" i="3"/>
  <c r="M18" i="3"/>
  <c r="H17" i="1"/>
  <c r="M13" i="3"/>
  <c r="L13" i="3"/>
  <c r="J12" i="1" s="1"/>
  <c r="M8" i="3"/>
  <c r="L8" i="3"/>
  <c r="J7" i="1" s="1"/>
  <c r="M35" i="3"/>
  <c r="L35" i="3"/>
  <c r="J34" i="1" s="1"/>
  <c r="M39" i="3"/>
  <c r="L39" i="3"/>
  <c r="J38" i="1" s="1"/>
  <c r="L33" i="3"/>
  <c r="J32" i="1" s="1"/>
  <c r="M33" i="3"/>
  <c r="M29" i="3"/>
  <c r="L29" i="3"/>
  <c r="J28" i="1" s="1"/>
  <c r="L23" i="3"/>
  <c r="J22" i="1" s="1"/>
  <c r="M23" i="3"/>
  <c r="M19" i="3"/>
  <c r="L19" i="3"/>
  <c r="J18" i="1" s="1"/>
  <c r="M9" i="3"/>
  <c r="L9" i="3"/>
  <c r="J8" i="1" s="1"/>
  <c r="H39" i="1" l="1"/>
  <c r="F39" i="1"/>
  <c r="F35" i="1"/>
  <c r="H35" i="1"/>
  <c r="F27" i="1"/>
  <c r="H27" i="1"/>
  <c r="F23" i="1"/>
  <c r="H23" i="1"/>
  <c r="H15" i="1"/>
  <c r="F15" i="1"/>
  <c r="F10" i="1"/>
  <c r="H10" i="1"/>
  <c r="F37" i="1"/>
  <c r="H37" i="1"/>
  <c r="F9" i="1"/>
  <c r="H9" i="1"/>
  <c r="F40" i="1"/>
  <c r="H40" i="1"/>
  <c r="F36" i="1"/>
  <c r="H36" i="1"/>
  <c r="F30" i="1"/>
  <c r="H30" i="1"/>
  <c r="F26" i="1"/>
  <c r="H26" i="1"/>
  <c r="F24" i="1"/>
  <c r="H24" i="1"/>
  <c r="H20" i="1"/>
  <c r="F20" i="1"/>
  <c r="H16" i="1"/>
  <c r="F16" i="1"/>
  <c r="F14" i="1"/>
  <c r="H14" i="1"/>
  <c r="H13" i="1"/>
  <c r="F13" i="1"/>
  <c r="M46" i="3"/>
  <c r="M7" i="3"/>
  <c r="L7" i="3"/>
  <c r="J6" i="1" s="1"/>
  <c r="F31" i="1"/>
  <c r="H31" i="1"/>
  <c r="F19" i="1"/>
  <c r="H19" i="1"/>
  <c r="H11" i="1"/>
  <c r="F11" i="1"/>
  <c r="F33" i="1"/>
  <c r="H33" i="1"/>
  <c r="H29" i="1"/>
  <c r="F29" i="1"/>
  <c r="J25" i="1"/>
  <c r="F25" i="1"/>
  <c r="F21" i="1"/>
  <c r="H21" i="1"/>
  <c r="J17" i="1"/>
  <c r="F17" i="1"/>
  <c r="H12" i="1"/>
  <c r="F12" i="1"/>
  <c r="F7" i="1"/>
  <c r="H7" i="1"/>
  <c r="H34" i="1"/>
  <c r="F34" i="1"/>
  <c r="H38" i="1"/>
  <c r="F38" i="1"/>
  <c r="F32" i="1"/>
  <c r="H32" i="1"/>
  <c r="H28" i="1"/>
  <c r="F28" i="1"/>
  <c r="F22" i="1"/>
  <c r="H22" i="1"/>
  <c r="F18" i="1"/>
  <c r="H18" i="1"/>
  <c r="F8" i="1"/>
  <c r="H8" i="1"/>
  <c r="F41" i="1" l="1"/>
  <c r="H41" i="1"/>
  <c r="M48" i="3"/>
  <c r="N7" i="3" s="1"/>
  <c r="B127" i="1"/>
  <c r="B80" i="1"/>
  <c r="C32" i="1"/>
  <c r="L32" i="1"/>
  <c r="B56" i="1"/>
  <c r="L8" i="1"/>
  <c r="B103" i="1"/>
  <c r="C8" i="1"/>
  <c r="B121" i="1"/>
  <c r="C26" i="1"/>
  <c r="L26" i="1"/>
  <c r="B74" i="1"/>
  <c r="L15" i="1"/>
  <c r="B110" i="1"/>
  <c r="B63" i="1"/>
  <c r="C15" i="1"/>
  <c r="B54" i="1"/>
  <c r="C6" i="1"/>
  <c r="L6" i="1"/>
  <c r="B101" i="1"/>
  <c r="B120" i="1"/>
  <c r="B73" i="1"/>
  <c r="L25" i="1"/>
  <c r="C25" i="1"/>
  <c r="B72" i="1"/>
  <c r="C24" i="1"/>
  <c r="L24" i="1"/>
  <c r="B119" i="1"/>
  <c r="B134" i="1"/>
  <c r="B87" i="1"/>
  <c r="L39" i="1"/>
  <c r="C39" i="1"/>
  <c r="C10" i="1"/>
  <c r="B58" i="1"/>
  <c r="L10" i="1"/>
  <c r="B105" i="1"/>
  <c r="C33" i="1"/>
  <c r="B81" i="1"/>
  <c r="B128" i="1"/>
  <c r="L33" i="1"/>
  <c r="L27" i="1"/>
  <c r="C27" i="1"/>
  <c r="B75" i="1"/>
  <c r="B122" i="1"/>
  <c r="C18" i="1"/>
  <c r="B113" i="1"/>
  <c r="B66" i="1"/>
  <c r="L18" i="1"/>
  <c r="L12" i="1"/>
  <c r="C12" i="1"/>
  <c r="B107" i="1"/>
  <c r="B60" i="1"/>
  <c r="B124" i="1"/>
  <c r="C29" i="1"/>
  <c r="L29" i="1"/>
  <c r="B77" i="1"/>
  <c r="L16" i="1"/>
  <c r="B64" i="1"/>
  <c r="B111" i="1"/>
  <c r="C16" i="1"/>
  <c r="B83" i="1"/>
  <c r="L35" i="1"/>
  <c r="C35" i="1"/>
  <c r="B130" i="1"/>
  <c r="L37" i="1"/>
  <c r="B132" i="1"/>
  <c r="B85" i="1"/>
  <c r="C37" i="1"/>
  <c r="B78" i="1"/>
  <c r="L30" i="1"/>
  <c r="B125" i="1"/>
  <c r="C30" i="1"/>
  <c r="C23" i="1"/>
  <c r="B118" i="1"/>
  <c r="B71" i="1"/>
  <c r="L23" i="1"/>
  <c r="C22" i="1"/>
  <c r="B70" i="1"/>
  <c r="B117" i="1"/>
  <c r="L22" i="1"/>
  <c r="C28" i="1"/>
  <c r="L28" i="1"/>
  <c r="B123" i="1"/>
  <c r="B76" i="1"/>
  <c r="L36" i="1"/>
  <c r="C36" i="1"/>
  <c r="B84" i="1"/>
  <c r="B131" i="1"/>
  <c r="B59" i="1"/>
  <c r="C11" i="1"/>
  <c r="L11" i="1"/>
  <c r="B106" i="1"/>
  <c r="B86" i="1"/>
  <c r="B133" i="1"/>
  <c r="C38" i="1"/>
  <c r="L38" i="1"/>
  <c r="B67" i="1"/>
  <c r="C19" i="1"/>
  <c r="B114" i="1"/>
  <c r="L19" i="1"/>
  <c r="L7" i="1"/>
  <c r="B102" i="1"/>
  <c r="C7" i="1"/>
  <c r="B55" i="1"/>
  <c r="B68" i="1"/>
  <c r="C20" i="1"/>
  <c r="L20" i="1"/>
  <c r="B115" i="1"/>
  <c r="B65" i="1"/>
  <c r="L17" i="1"/>
  <c r="B112" i="1"/>
  <c r="C17" i="1"/>
  <c r="L40" i="1"/>
  <c r="C40" i="1"/>
  <c r="B135" i="1"/>
  <c r="B88" i="1"/>
  <c r="B104" i="1"/>
  <c r="C9" i="1"/>
  <c r="B57" i="1"/>
  <c r="L9" i="1"/>
  <c r="B69" i="1"/>
  <c r="C21" i="1"/>
  <c r="B116" i="1"/>
  <c r="L21" i="1"/>
  <c r="B126" i="1"/>
  <c r="B79" i="1"/>
  <c r="C31" i="1"/>
  <c r="L31" i="1"/>
  <c r="B129" i="1"/>
  <c r="B82" i="1"/>
  <c r="C34" i="1"/>
  <c r="L34" i="1"/>
  <c r="B109" i="1"/>
  <c r="C14" i="1"/>
  <c r="L14" i="1"/>
  <c r="B62" i="1"/>
  <c r="B108" i="1"/>
  <c r="L13" i="1"/>
  <c r="B61" i="1"/>
  <c r="C13" i="1"/>
  <c r="H6" i="1"/>
  <c r="H43" i="1" s="1"/>
  <c r="F6" i="1"/>
  <c r="O7" i="3" l="1"/>
  <c r="D142" i="3"/>
  <c r="N46" i="3"/>
  <c r="O46" i="3" s="1"/>
  <c r="N9" i="3"/>
  <c r="N19" i="3"/>
  <c r="N23" i="3"/>
  <c r="N39" i="3"/>
  <c r="N35" i="3"/>
  <c r="N13" i="3"/>
  <c r="N18" i="3"/>
  <c r="N22" i="3"/>
  <c r="N26" i="3"/>
  <c r="N30" i="3"/>
  <c r="N20" i="3"/>
  <c r="N14" i="3"/>
  <c r="N15" i="3"/>
  <c r="N17" i="3"/>
  <c r="N21" i="3"/>
  <c r="N25" i="3"/>
  <c r="N27" i="3"/>
  <c r="N31" i="3"/>
  <c r="N37" i="3"/>
  <c r="N41" i="3"/>
  <c r="N10" i="3"/>
  <c r="N29" i="3"/>
  <c r="N33" i="3"/>
  <c r="N8" i="3"/>
  <c r="N34" i="3"/>
  <c r="N12" i="3"/>
  <c r="N32" i="3"/>
  <c r="N42" i="3"/>
  <c r="N38" i="3"/>
  <c r="N11" i="3"/>
  <c r="N16" i="3"/>
  <c r="N24" i="3"/>
  <c r="N28" i="3"/>
  <c r="N36" i="3"/>
  <c r="N40" i="3"/>
  <c r="N43" i="3"/>
  <c r="N45" i="3"/>
  <c r="N44" i="3"/>
  <c r="C127" i="1"/>
  <c r="C80" i="1"/>
  <c r="C103" i="1"/>
  <c r="C56" i="1"/>
  <c r="C121" i="1"/>
  <c r="C74" i="1"/>
  <c r="C110" i="1"/>
  <c r="C63" i="1"/>
  <c r="C101" i="1"/>
  <c r="C54" i="1"/>
  <c r="V14" i="1"/>
  <c r="U14" i="1"/>
  <c r="U12" i="1"/>
  <c r="T15" i="1"/>
  <c r="V12" i="1"/>
  <c r="U15" i="1"/>
  <c r="T14" i="1"/>
  <c r="V15" i="1"/>
  <c r="T12" i="1"/>
  <c r="C120" i="1"/>
  <c r="C73" i="1"/>
  <c r="C119" i="1"/>
  <c r="C72" i="1"/>
  <c r="C134" i="1"/>
  <c r="C87" i="1"/>
  <c r="C105" i="1"/>
  <c r="C58" i="1"/>
  <c r="C128" i="1"/>
  <c r="C81" i="1"/>
  <c r="C122" i="1"/>
  <c r="C75" i="1"/>
  <c r="C113" i="1"/>
  <c r="C66" i="1"/>
  <c r="C107" i="1"/>
  <c r="C60" i="1"/>
  <c r="C124" i="1"/>
  <c r="C77" i="1"/>
  <c r="C111" i="1"/>
  <c r="C64" i="1"/>
  <c r="C130" i="1"/>
  <c r="C83" i="1"/>
  <c r="C132" i="1"/>
  <c r="C85" i="1"/>
  <c r="C125" i="1"/>
  <c r="C78" i="1"/>
  <c r="C118" i="1"/>
  <c r="C71" i="1"/>
  <c r="C117" i="1"/>
  <c r="C70" i="1"/>
  <c r="C123" i="1"/>
  <c r="C76" i="1"/>
  <c r="C131" i="1"/>
  <c r="C84" i="1"/>
  <c r="C106" i="1"/>
  <c r="C59" i="1"/>
  <c r="C133" i="1"/>
  <c r="C86" i="1"/>
  <c r="C114" i="1"/>
  <c r="C67" i="1"/>
  <c r="C102" i="1"/>
  <c r="C55" i="1"/>
  <c r="C115" i="1"/>
  <c r="C68" i="1"/>
  <c r="C112" i="1"/>
  <c r="C65" i="1"/>
  <c r="C135" i="1"/>
  <c r="C88" i="1"/>
  <c r="C104" i="1"/>
  <c r="C57" i="1"/>
  <c r="C116" i="1"/>
  <c r="C69" i="1"/>
  <c r="C126" i="1"/>
  <c r="C79" i="1"/>
  <c r="C129" i="1"/>
  <c r="C82" i="1"/>
  <c r="C109" i="1"/>
  <c r="C62" i="1"/>
  <c r="C108" i="1"/>
  <c r="C61" i="1"/>
  <c r="K6" i="1"/>
  <c r="N48" i="3" l="1"/>
  <c r="K98" i="3"/>
  <c r="D144" i="3"/>
  <c r="K100" i="3" s="1"/>
  <c r="O9" i="3"/>
  <c r="D154" i="3"/>
  <c r="K110" i="3" s="1"/>
  <c r="O19" i="3"/>
  <c r="D158" i="3"/>
  <c r="K114" i="3" s="1"/>
  <c r="O23" i="3"/>
  <c r="D174" i="3"/>
  <c r="K130" i="3" s="1"/>
  <c r="O39" i="3"/>
  <c r="D170" i="3"/>
  <c r="K126" i="3" s="1"/>
  <c r="O35" i="3"/>
  <c r="D148" i="3"/>
  <c r="K104" i="3" s="1"/>
  <c r="O13" i="3"/>
  <c r="D153" i="3"/>
  <c r="K109" i="3" s="1"/>
  <c r="O18" i="3"/>
  <c r="D157" i="3"/>
  <c r="K113" i="3" s="1"/>
  <c r="O22" i="3"/>
  <c r="D161" i="3"/>
  <c r="K117" i="3" s="1"/>
  <c r="O26" i="3"/>
  <c r="D165" i="3"/>
  <c r="K121" i="3" s="1"/>
  <c r="O30" i="3"/>
  <c r="D155" i="3"/>
  <c r="K111" i="3" s="1"/>
  <c r="O20" i="3"/>
  <c r="D149" i="3"/>
  <c r="K105" i="3" s="1"/>
  <c r="O14" i="3"/>
  <c r="D150" i="3"/>
  <c r="K106" i="3" s="1"/>
  <c r="O15" i="3"/>
  <c r="D152" i="3"/>
  <c r="K108" i="3" s="1"/>
  <c r="O17" i="3"/>
  <c r="D156" i="3"/>
  <c r="K112" i="3" s="1"/>
  <c r="O21" i="3"/>
  <c r="D160" i="3"/>
  <c r="K116" i="3" s="1"/>
  <c r="O25" i="3"/>
  <c r="D162" i="3"/>
  <c r="K118" i="3" s="1"/>
  <c r="O27" i="3"/>
  <c r="D166" i="3"/>
  <c r="K122" i="3" s="1"/>
  <c r="O31" i="3"/>
  <c r="D172" i="3"/>
  <c r="K128" i="3" s="1"/>
  <c r="O37" i="3"/>
  <c r="D176" i="3"/>
  <c r="K132" i="3" s="1"/>
  <c r="O41" i="3"/>
  <c r="D145" i="3"/>
  <c r="K101" i="3" s="1"/>
  <c r="O10" i="3"/>
  <c r="D164" i="3"/>
  <c r="K120" i="3" s="1"/>
  <c r="O29" i="3"/>
  <c r="D168" i="3"/>
  <c r="K124" i="3" s="1"/>
  <c r="O33" i="3"/>
  <c r="D143" i="3"/>
  <c r="O8" i="3"/>
  <c r="D169" i="3"/>
  <c r="K125" i="3" s="1"/>
  <c r="O34" i="3"/>
  <c r="D147" i="3"/>
  <c r="K103" i="3" s="1"/>
  <c r="O12" i="3"/>
  <c r="D167" i="3"/>
  <c r="K123" i="3" s="1"/>
  <c r="O32" i="3"/>
  <c r="D177" i="3"/>
  <c r="K133" i="3" s="1"/>
  <c r="O42" i="3"/>
  <c r="D173" i="3"/>
  <c r="K129" i="3" s="1"/>
  <c r="O38" i="3"/>
  <c r="D146" i="3"/>
  <c r="K102" i="3" s="1"/>
  <c r="O11" i="3"/>
  <c r="D151" i="3"/>
  <c r="K107" i="3" s="1"/>
  <c r="O16" i="3"/>
  <c r="D159" i="3"/>
  <c r="K115" i="3" s="1"/>
  <c r="O24" i="3"/>
  <c r="D163" i="3"/>
  <c r="K119" i="3" s="1"/>
  <c r="O28" i="3"/>
  <c r="D171" i="3"/>
  <c r="K127" i="3" s="1"/>
  <c r="O36" i="3"/>
  <c r="D175" i="3"/>
  <c r="K131" i="3" s="1"/>
  <c r="O40" i="3"/>
  <c r="O43" i="3"/>
  <c r="D178" i="3"/>
  <c r="K134" i="3" s="1"/>
  <c r="O45" i="3"/>
  <c r="D180" i="3"/>
  <c r="K136" i="3" s="1"/>
  <c r="O44" i="3"/>
  <c r="D179" i="3"/>
  <c r="K135" i="3" s="1"/>
  <c r="J101" i="1"/>
  <c r="L54" i="1"/>
  <c r="K41" i="1"/>
  <c r="K14" i="1"/>
  <c r="K16" i="1"/>
  <c r="K20" i="1"/>
  <c r="K30" i="1"/>
  <c r="K9" i="1"/>
  <c r="K37" i="1"/>
  <c r="K15" i="1"/>
  <c r="K23" i="1"/>
  <c r="K35" i="1"/>
  <c r="K39" i="1"/>
  <c r="K8" i="1"/>
  <c r="K18" i="1"/>
  <c r="K22" i="1"/>
  <c r="K28" i="1"/>
  <c r="K32" i="1"/>
  <c r="K38" i="1"/>
  <c r="K34" i="1"/>
  <c r="K7" i="1"/>
  <c r="K12" i="1"/>
  <c r="K21" i="1"/>
  <c r="K29" i="1"/>
  <c r="K33" i="1"/>
  <c r="K11" i="1"/>
  <c r="K19" i="1"/>
  <c r="K31" i="1"/>
  <c r="K13" i="1"/>
  <c r="K24" i="1"/>
  <c r="K26" i="1"/>
  <c r="K36" i="1"/>
  <c r="K40" i="1"/>
  <c r="K10" i="1"/>
  <c r="K27" i="1"/>
  <c r="K17" i="1"/>
  <c r="K25" i="1"/>
  <c r="J43" i="1"/>
  <c r="J44" i="1"/>
  <c r="M98" i="3" l="1"/>
  <c r="L98" i="3"/>
  <c r="E54" i="1" s="1"/>
  <c r="D54" i="1"/>
  <c r="H54" i="1" s="1"/>
  <c r="L100" i="3"/>
  <c r="E56" i="1" s="1"/>
  <c r="M100" i="3"/>
  <c r="D56" i="1"/>
  <c r="H56" i="1" s="1"/>
  <c r="L110" i="3"/>
  <c r="E66" i="1" s="1"/>
  <c r="M110" i="3"/>
  <c r="D66" i="1"/>
  <c r="H66" i="1" s="1"/>
  <c r="L114" i="3"/>
  <c r="E70" i="1" s="1"/>
  <c r="M114" i="3"/>
  <c r="D70" i="1"/>
  <c r="H70" i="1" s="1"/>
  <c r="L130" i="3"/>
  <c r="E86" i="1" s="1"/>
  <c r="M130" i="3"/>
  <c r="D86" i="1"/>
  <c r="H86" i="1" s="1"/>
  <c r="L126" i="3"/>
  <c r="E82" i="1" s="1"/>
  <c r="M126" i="3"/>
  <c r="D82" i="1"/>
  <c r="H82" i="1" s="1"/>
  <c r="L104" i="3"/>
  <c r="E60" i="1" s="1"/>
  <c r="M104" i="3"/>
  <c r="D60" i="1"/>
  <c r="H60" i="1" s="1"/>
  <c r="M109" i="3"/>
  <c r="L109" i="3"/>
  <c r="E65" i="1" s="1"/>
  <c r="F65" i="1" s="1"/>
  <c r="D65" i="1"/>
  <c r="H65" i="1" s="1"/>
  <c r="L113" i="3"/>
  <c r="E69" i="1" s="1"/>
  <c r="M113" i="3"/>
  <c r="D69" i="1"/>
  <c r="H69" i="1" s="1"/>
  <c r="M117" i="3"/>
  <c r="L117" i="3"/>
  <c r="E73" i="1" s="1"/>
  <c r="D73" i="1"/>
  <c r="H73" i="1" s="1"/>
  <c r="M121" i="3"/>
  <c r="L121" i="3"/>
  <c r="E77" i="1" s="1"/>
  <c r="D77" i="1"/>
  <c r="H77" i="1" s="1"/>
  <c r="M111" i="3"/>
  <c r="L111" i="3"/>
  <c r="E67" i="1" s="1"/>
  <c r="D67" i="1"/>
  <c r="H67" i="1" s="1"/>
  <c r="M105" i="3"/>
  <c r="L105" i="3"/>
  <c r="E61" i="1" s="1"/>
  <c r="D61" i="1"/>
  <c r="H61" i="1" s="1"/>
  <c r="L106" i="3"/>
  <c r="E62" i="1" s="1"/>
  <c r="M106" i="3"/>
  <c r="D62" i="1"/>
  <c r="H62" i="1" s="1"/>
  <c r="L108" i="3"/>
  <c r="E64" i="1" s="1"/>
  <c r="F64" i="1" s="1"/>
  <c r="M108" i="3"/>
  <c r="D64" i="1"/>
  <c r="H64" i="1" s="1"/>
  <c r="L112" i="3"/>
  <c r="E68" i="1" s="1"/>
  <c r="M112" i="3"/>
  <c r="D68" i="1"/>
  <c r="H68" i="1" s="1"/>
  <c r="L116" i="3"/>
  <c r="E72" i="1" s="1"/>
  <c r="M116" i="3"/>
  <c r="D72" i="1"/>
  <c r="H72" i="1" s="1"/>
  <c r="L118" i="3"/>
  <c r="E74" i="1" s="1"/>
  <c r="M118" i="3"/>
  <c r="D74" i="1"/>
  <c r="H74" i="1" s="1"/>
  <c r="L122" i="3"/>
  <c r="E78" i="1" s="1"/>
  <c r="M122" i="3"/>
  <c r="D78" i="1"/>
  <c r="H78" i="1" s="1"/>
  <c r="L128" i="3"/>
  <c r="E84" i="1" s="1"/>
  <c r="M128" i="3"/>
  <c r="D84" i="1"/>
  <c r="H84" i="1" s="1"/>
  <c r="L132" i="3"/>
  <c r="E88" i="1" s="1"/>
  <c r="M132" i="3"/>
  <c r="D88" i="1"/>
  <c r="H88" i="1" s="1"/>
  <c r="M101" i="3"/>
  <c r="L101" i="3"/>
  <c r="E57" i="1" s="1"/>
  <c r="D57" i="1"/>
  <c r="H57" i="1" s="1"/>
  <c r="L120" i="3"/>
  <c r="E76" i="1" s="1"/>
  <c r="M120" i="3"/>
  <c r="D76" i="1"/>
  <c r="H76" i="1" s="1"/>
  <c r="L124" i="3"/>
  <c r="E80" i="1" s="1"/>
  <c r="M124" i="3"/>
  <c r="D80" i="1"/>
  <c r="H80" i="1" s="1"/>
  <c r="L125" i="3"/>
  <c r="E81" i="1" s="1"/>
  <c r="M125" i="3"/>
  <c r="D81" i="1"/>
  <c r="H81" i="1" s="1"/>
  <c r="L103" i="3"/>
  <c r="E59" i="1" s="1"/>
  <c r="M103" i="3"/>
  <c r="D59" i="1"/>
  <c r="H59" i="1" s="1"/>
  <c r="M123" i="3"/>
  <c r="L123" i="3"/>
  <c r="E79" i="1" s="1"/>
  <c r="D79" i="1"/>
  <c r="H79" i="1" s="1"/>
  <c r="L133" i="3"/>
  <c r="M133" i="3"/>
  <c r="L129" i="3"/>
  <c r="E85" i="1" s="1"/>
  <c r="M129" i="3"/>
  <c r="D85" i="1"/>
  <c r="H85" i="1" s="1"/>
  <c r="L102" i="3"/>
  <c r="E58" i="1" s="1"/>
  <c r="M102" i="3"/>
  <c r="D58" i="1"/>
  <c r="H58" i="1" s="1"/>
  <c r="L107" i="3"/>
  <c r="E63" i="1" s="1"/>
  <c r="M107" i="3"/>
  <c r="D63" i="1"/>
  <c r="H63" i="1" s="1"/>
  <c r="M115" i="3"/>
  <c r="L115" i="3"/>
  <c r="E71" i="1" s="1"/>
  <c r="D71" i="1"/>
  <c r="H71" i="1" s="1"/>
  <c r="L119" i="3"/>
  <c r="E75" i="1" s="1"/>
  <c r="M119" i="3"/>
  <c r="D75" i="1"/>
  <c r="H75" i="1" s="1"/>
  <c r="M127" i="3"/>
  <c r="L127" i="3"/>
  <c r="E83" i="1" s="1"/>
  <c r="F83" i="1" s="1"/>
  <c r="D83" i="1"/>
  <c r="H83" i="1" s="1"/>
  <c r="M131" i="3"/>
  <c r="L131" i="3"/>
  <c r="E87" i="1" s="1"/>
  <c r="D87" i="1"/>
  <c r="H87" i="1" s="1"/>
  <c r="M134" i="3"/>
  <c r="L134" i="3"/>
  <c r="M136" i="3"/>
  <c r="L136" i="3"/>
  <c r="L135" i="3"/>
  <c r="M135" i="3"/>
  <c r="T17" i="1"/>
  <c r="J136" i="1"/>
  <c r="L89" i="1"/>
  <c r="L62" i="1"/>
  <c r="J109" i="1"/>
  <c r="T8" i="1"/>
  <c r="L64" i="1"/>
  <c r="J111" i="1"/>
  <c r="L68" i="1"/>
  <c r="J115" i="1"/>
  <c r="L78" i="1"/>
  <c r="J125" i="1"/>
  <c r="T9" i="1"/>
  <c r="L57" i="1"/>
  <c r="J104" i="1"/>
  <c r="J132" i="1"/>
  <c r="L85" i="1"/>
  <c r="L63" i="1"/>
  <c r="J110" i="1"/>
  <c r="L71" i="1"/>
  <c r="J118" i="1"/>
  <c r="L83" i="1"/>
  <c r="J130" i="1"/>
  <c r="L87" i="1"/>
  <c r="J134" i="1"/>
  <c r="J103" i="1"/>
  <c r="L56" i="1"/>
  <c r="L66" i="1"/>
  <c r="J113" i="1"/>
  <c r="J117" i="1"/>
  <c r="L70" i="1"/>
  <c r="L76" i="1"/>
  <c r="J123" i="1"/>
  <c r="L80" i="1"/>
  <c r="J127" i="1"/>
  <c r="J133" i="1"/>
  <c r="L86" i="1"/>
  <c r="L82" i="1"/>
  <c r="J129" i="1"/>
  <c r="T6" i="1"/>
  <c r="L55" i="1"/>
  <c r="J102" i="1"/>
  <c r="J107" i="1"/>
  <c r="L60" i="1"/>
  <c r="L69" i="1"/>
  <c r="J116" i="1"/>
  <c r="T11" i="1"/>
  <c r="L77" i="1"/>
  <c r="J124" i="1"/>
  <c r="L81" i="1"/>
  <c r="J128" i="1"/>
  <c r="T16" i="1"/>
  <c r="L59" i="1"/>
  <c r="J106" i="1"/>
  <c r="L67" i="1"/>
  <c r="J114" i="1"/>
  <c r="L79" i="1"/>
  <c r="J126" i="1"/>
  <c r="L61" i="1"/>
  <c r="J108" i="1"/>
  <c r="T10" i="1"/>
  <c r="L72" i="1"/>
  <c r="J119" i="1"/>
  <c r="T13" i="1"/>
  <c r="J121" i="1"/>
  <c r="L74" i="1"/>
  <c r="L84" i="1"/>
  <c r="J131" i="1"/>
  <c r="J135" i="1"/>
  <c r="L88" i="1"/>
  <c r="T7" i="1"/>
  <c r="J105" i="1"/>
  <c r="L58" i="1"/>
  <c r="L75" i="1"/>
  <c r="J122" i="1"/>
  <c r="L65" i="1"/>
  <c r="J112" i="1"/>
  <c r="L73" i="1"/>
  <c r="J120" i="1"/>
  <c r="O48" i="3"/>
  <c r="K99" i="3"/>
  <c r="K137" i="3"/>
  <c r="D127" i="1" a="1"/>
  <c r="D127" i="1" s="1"/>
  <c r="D135" i="1" a="1"/>
  <c r="D135" i="1" s="1"/>
  <c r="D132" i="1" a="1"/>
  <c r="D132" i="1" s="1"/>
  <c r="D114" i="1" a="1"/>
  <c r="D114" i="1" s="1"/>
  <c r="D126" i="1" a="1"/>
  <c r="D126" i="1" s="1"/>
  <c r="D101" i="1" a="1"/>
  <c r="D101" i="1" s="1"/>
  <c r="D110" i="1" a="1"/>
  <c r="D110" i="1" s="1"/>
  <c r="D103" i="1" a="1"/>
  <c r="D103" i="1" s="1"/>
  <c r="D124" i="1" a="1"/>
  <c r="D124" i="1" s="1"/>
  <c r="D128" i="1" a="1"/>
  <c r="D128" i="1" s="1"/>
  <c r="D122" i="1" a="1"/>
  <c r="D122" i="1" s="1"/>
  <c r="D113" i="1" a="1"/>
  <c r="D113" i="1" s="1"/>
  <c r="D115" i="1" a="1"/>
  <c r="D115" i="1" s="1"/>
  <c r="D111" i="1" a="1"/>
  <c r="D111" i="1" s="1"/>
  <c r="D133" i="1" a="1"/>
  <c r="D133" i="1" s="1"/>
  <c r="D129" i="1" a="1"/>
  <c r="D129" i="1" s="1"/>
  <c r="D105" i="1" a="1"/>
  <c r="D105" i="1" s="1"/>
  <c r="D120" i="1" a="1"/>
  <c r="D120" i="1" s="1"/>
  <c r="D119" i="1" a="1"/>
  <c r="D119" i="1" s="1"/>
  <c r="D108" i="1" a="1"/>
  <c r="D108" i="1" s="1"/>
  <c r="D130" i="1" a="1"/>
  <c r="D130" i="1" s="1"/>
  <c r="D112" i="1" a="1"/>
  <c r="D112" i="1" s="1"/>
  <c r="D118" i="1" a="1"/>
  <c r="D118" i="1" s="1"/>
  <c r="D117" i="1" a="1"/>
  <c r="D117" i="1" s="1"/>
  <c r="D125" i="1" a="1"/>
  <c r="D125" i="1" s="1"/>
  <c r="D102" i="1" a="1"/>
  <c r="D102" i="1" s="1"/>
  <c r="D134" i="1" a="1"/>
  <c r="D134" i="1" s="1"/>
  <c r="D104" i="1" a="1"/>
  <c r="D104" i="1" s="1"/>
  <c r="D109" i="1" a="1"/>
  <c r="D109" i="1" s="1"/>
  <c r="D123" i="1" a="1"/>
  <c r="D123" i="1" s="1"/>
  <c r="D107" i="1" a="1"/>
  <c r="D107" i="1" s="1"/>
  <c r="D131" i="1" a="1"/>
  <c r="D131" i="1" s="1"/>
  <c r="D116" i="1" a="1"/>
  <c r="D116" i="1" s="1"/>
  <c r="D121" i="1" a="1"/>
  <c r="D121" i="1" s="1"/>
  <c r="K43" i="1"/>
  <c r="D106" i="1" a="1"/>
  <c r="D106" i="1" s="1"/>
  <c r="J83" i="1" l="1"/>
  <c r="J65" i="1"/>
  <c r="J64" i="1"/>
  <c r="F59" i="1"/>
  <c r="J59" i="1" s="1"/>
  <c r="W8" i="1" a="1"/>
  <c r="W8" i="1" s="1"/>
  <c r="X8" i="1" s="1"/>
  <c r="W13" i="1" a="1"/>
  <c r="W13" i="1" s="1"/>
  <c r="X13" i="1" s="1"/>
  <c r="W17" i="1" a="1"/>
  <c r="W17" i="1" s="1"/>
  <c r="W6" i="1" a="1"/>
  <c r="W6" i="1" s="1"/>
  <c r="X6" i="1" s="1"/>
  <c r="W10" i="1" a="1"/>
  <c r="W10" i="1" s="1"/>
  <c r="X10" i="1" s="1"/>
  <c r="W7" i="1" a="1"/>
  <c r="W7" i="1" s="1"/>
  <c r="X7" i="1" s="1"/>
  <c r="W9" i="1" a="1"/>
  <c r="W9" i="1" s="1"/>
  <c r="X9" i="1" s="1"/>
  <c r="W14" i="1" a="1"/>
  <c r="W14" i="1" s="1"/>
  <c r="X14" i="1" s="1"/>
  <c r="W12" i="1" a="1"/>
  <c r="W12" i="1" s="1"/>
  <c r="X12" i="1" s="1"/>
  <c r="W16" i="1" a="1"/>
  <c r="W16" i="1" s="1"/>
  <c r="W11" i="1" a="1"/>
  <c r="W11" i="1" s="1"/>
  <c r="X11" i="1" s="1"/>
  <c r="W15" i="1" a="1"/>
  <c r="W15" i="1" s="1"/>
  <c r="D55" i="1"/>
  <c r="H55" i="1" s="1"/>
  <c r="H91" i="1" s="1"/>
  <c r="L99" i="3"/>
  <c r="E55" i="1" s="1"/>
  <c r="F55" i="1" s="1"/>
  <c r="J55" i="1" s="1"/>
  <c r="M99" i="3"/>
  <c r="D89" i="1"/>
  <c r="H89" i="1" s="1"/>
  <c r="M137" i="3"/>
  <c r="H127" i="1"/>
  <c r="F127" i="1"/>
  <c r="H135" i="1"/>
  <c r="F135" i="1"/>
  <c r="H132" i="1"/>
  <c r="F132" i="1"/>
  <c r="F114" i="1"/>
  <c r="H114" i="1"/>
  <c r="F126" i="1"/>
  <c r="H126" i="1"/>
  <c r="D136" i="1"/>
  <c r="H136" i="1" s="1"/>
  <c r="F101" i="1"/>
  <c r="H101" i="1"/>
  <c r="F110" i="1"/>
  <c r="H110" i="1"/>
  <c r="H103" i="1"/>
  <c r="F103" i="1"/>
  <c r="H124" i="1"/>
  <c r="F124" i="1"/>
  <c r="F128" i="1"/>
  <c r="H128" i="1"/>
  <c r="F122" i="1"/>
  <c r="H122" i="1"/>
  <c r="F113" i="1"/>
  <c r="H113" i="1"/>
  <c r="F115" i="1"/>
  <c r="H115" i="1"/>
  <c r="F111" i="1"/>
  <c r="H111" i="1"/>
  <c r="H133" i="1"/>
  <c r="F133" i="1"/>
  <c r="H129" i="1"/>
  <c r="F129" i="1"/>
  <c r="H105" i="1"/>
  <c r="F105" i="1"/>
  <c r="H120" i="1"/>
  <c r="F120" i="1"/>
  <c r="F119" i="1"/>
  <c r="H119" i="1"/>
  <c r="H108" i="1"/>
  <c r="F108" i="1"/>
  <c r="F130" i="1"/>
  <c r="H130" i="1"/>
  <c r="H112" i="1"/>
  <c r="F112" i="1"/>
  <c r="F118" i="1"/>
  <c r="H118" i="1"/>
  <c r="H117" i="1"/>
  <c r="F117" i="1"/>
  <c r="F125" i="1"/>
  <c r="H125" i="1"/>
  <c r="F102" i="1"/>
  <c r="H102" i="1"/>
  <c r="F134" i="1"/>
  <c r="H134" i="1"/>
  <c r="H104" i="1"/>
  <c r="F104" i="1"/>
  <c r="F109" i="1"/>
  <c r="H109" i="1"/>
  <c r="F123" i="1"/>
  <c r="H123" i="1"/>
  <c r="F107" i="1"/>
  <c r="H107" i="1"/>
  <c r="F131" i="1"/>
  <c r="H131" i="1"/>
  <c r="H116" i="1"/>
  <c r="F116" i="1"/>
  <c r="H121" i="1"/>
  <c r="F121" i="1"/>
  <c r="H106" i="1"/>
  <c r="F106" i="1"/>
  <c r="F54" i="1"/>
  <c r="J54" i="1" s="1"/>
  <c r="F56" i="1"/>
  <c r="J56" i="1" s="1"/>
  <c r="F66" i="1"/>
  <c r="J66" i="1" s="1"/>
  <c r="F70" i="1"/>
  <c r="J70" i="1" s="1"/>
  <c r="F86" i="1"/>
  <c r="J86" i="1" s="1"/>
  <c r="F82" i="1"/>
  <c r="J82" i="1" s="1"/>
  <c r="F60" i="1"/>
  <c r="J60" i="1" s="1"/>
  <c r="F69" i="1"/>
  <c r="J69" i="1" s="1"/>
  <c r="F73" i="1"/>
  <c r="J73" i="1" s="1"/>
  <c r="F77" i="1"/>
  <c r="J77" i="1" s="1"/>
  <c r="F67" i="1"/>
  <c r="J67" i="1" s="1"/>
  <c r="F61" i="1"/>
  <c r="J61" i="1" s="1"/>
  <c r="F62" i="1"/>
  <c r="J62" i="1" s="1"/>
  <c r="F68" i="1"/>
  <c r="J68" i="1" s="1"/>
  <c r="F72" i="1"/>
  <c r="J72" i="1" s="1"/>
  <c r="F74" i="1"/>
  <c r="J74" i="1" s="1"/>
  <c r="F78" i="1"/>
  <c r="J78" i="1" s="1"/>
  <c r="F84" i="1"/>
  <c r="J84" i="1" s="1"/>
  <c r="F88" i="1"/>
  <c r="J88" i="1" s="1"/>
  <c r="F57" i="1"/>
  <c r="J57" i="1" s="1"/>
  <c r="F76" i="1"/>
  <c r="J76" i="1" s="1"/>
  <c r="F80" i="1"/>
  <c r="J80" i="1" s="1"/>
  <c r="F81" i="1"/>
  <c r="J81" i="1" s="1"/>
  <c r="F79" i="1"/>
  <c r="J79" i="1" s="1"/>
  <c r="F85" i="1"/>
  <c r="J85" i="1" s="1"/>
  <c r="F58" i="1"/>
  <c r="J58" i="1" s="1"/>
  <c r="F63" i="1"/>
  <c r="J63" i="1" s="1"/>
  <c r="F71" i="1"/>
  <c r="J71" i="1" s="1"/>
  <c r="F75" i="1"/>
  <c r="J75" i="1" s="1"/>
  <c r="F87" i="1"/>
  <c r="J87" i="1" s="1"/>
  <c r="J138" i="1"/>
  <c r="L91" i="1"/>
  <c r="M139" i="3" l="1"/>
  <c r="N136" i="3"/>
  <c r="O136" i="3" s="1"/>
  <c r="N135" i="3"/>
  <c r="O135" i="3" s="1"/>
  <c r="N119" i="3"/>
  <c r="O119" i="3" s="1"/>
  <c r="N115" i="3"/>
  <c r="O115" i="3" s="1"/>
  <c r="N134" i="3"/>
  <c r="O134" i="3" s="1"/>
  <c r="N131" i="3"/>
  <c r="O131" i="3" s="1"/>
  <c r="N127" i="3"/>
  <c r="O127" i="3" s="1"/>
  <c r="N107" i="3"/>
  <c r="O107" i="3" s="1"/>
  <c r="N102" i="3"/>
  <c r="O102" i="3" s="1"/>
  <c r="N129" i="3"/>
  <c r="O129" i="3" s="1"/>
  <c r="N133" i="3"/>
  <c r="O133" i="3" s="1"/>
  <c r="N123" i="3"/>
  <c r="O123" i="3" s="1"/>
  <c r="N103" i="3"/>
  <c r="O103" i="3" s="1"/>
  <c r="N125" i="3"/>
  <c r="O125" i="3" s="1"/>
  <c r="N124" i="3"/>
  <c r="O124" i="3" s="1"/>
  <c r="N120" i="3"/>
  <c r="O120" i="3" s="1"/>
  <c r="N128" i="3"/>
  <c r="O128" i="3" s="1"/>
  <c r="N122" i="3"/>
  <c r="O122" i="3" s="1"/>
  <c r="N118" i="3"/>
  <c r="O118" i="3" s="1"/>
  <c r="N116" i="3"/>
  <c r="O116" i="3" s="1"/>
  <c r="N112" i="3"/>
  <c r="O112" i="3" s="1"/>
  <c r="N108" i="3"/>
  <c r="O108" i="3" s="1"/>
  <c r="N106" i="3"/>
  <c r="O106" i="3" s="1"/>
  <c r="N105" i="3"/>
  <c r="O105" i="3" s="1"/>
  <c r="N111" i="3"/>
  <c r="O111" i="3" s="1"/>
  <c r="N121" i="3"/>
  <c r="O121" i="3" s="1"/>
  <c r="N117" i="3"/>
  <c r="O117" i="3" s="1"/>
  <c r="N113" i="3"/>
  <c r="O113" i="3" s="1"/>
  <c r="N109" i="3"/>
  <c r="O109" i="3" s="1"/>
  <c r="N104" i="3"/>
  <c r="O104" i="3" s="1"/>
  <c r="N126" i="3"/>
  <c r="O126" i="3" s="1"/>
  <c r="N130" i="3"/>
  <c r="O130" i="3" s="1"/>
  <c r="N114" i="3"/>
  <c r="O114" i="3" s="1"/>
  <c r="N110" i="3"/>
  <c r="O110" i="3" s="1"/>
  <c r="N100" i="3"/>
  <c r="O100" i="3" s="1"/>
  <c r="K75" i="1"/>
  <c r="K71" i="1"/>
  <c r="M71" i="1" s="1"/>
  <c r="K58" i="1"/>
  <c r="M58" i="1" s="1"/>
  <c r="K87" i="1"/>
  <c r="M87" i="1" s="1"/>
  <c r="K83" i="1"/>
  <c r="M83" i="1" s="1"/>
  <c r="K63" i="1"/>
  <c r="M63" i="1" s="1"/>
  <c r="K85" i="1"/>
  <c r="M85" i="1" s="1"/>
  <c r="K79" i="1"/>
  <c r="M79" i="1" s="1"/>
  <c r="K59" i="1"/>
  <c r="K81" i="1"/>
  <c r="M81" i="1" s="1"/>
  <c r="K80" i="1"/>
  <c r="M80" i="1" s="1"/>
  <c r="K76" i="1"/>
  <c r="M76" i="1" s="1"/>
  <c r="K57" i="1"/>
  <c r="K88" i="1"/>
  <c r="M88" i="1" s="1"/>
  <c r="K84" i="1"/>
  <c r="M84" i="1" s="1"/>
  <c r="K78" i="1"/>
  <c r="M78" i="1" s="1"/>
  <c r="K74" i="1"/>
  <c r="M74" i="1" s="1"/>
  <c r="K72" i="1"/>
  <c r="K68" i="1"/>
  <c r="M68" i="1" s="1"/>
  <c r="K64" i="1"/>
  <c r="K62" i="1"/>
  <c r="M62" i="1" s="1"/>
  <c r="K61" i="1"/>
  <c r="M61" i="1" s="1"/>
  <c r="K67" i="1"/>
  <c r="M67" i="1" s="1"/>
  <c r="K77" i="1"/>
  <c r="K73" i="1"/>
  <c r="M73" i="1" s="1"/>
  <c r="K69" i="1"/>
  <c r="M69" i="1" s="1"/>
  <c r="K65" i="1"/>
  <c r="M65" i="1" s="1"/>
  <c r="K60" i="1"/>
  <c r="M60" i="1" s="1"/>
  <c r="K82" i="1"/>
  <c r="M82" i="1" s="1"/>
  <c r="K86" i="1"/>
  <c r="M86" i="1" s="1"/>
  <c r="K70" i="1"/>
  <c r="M70" i="1" s="1"/>
  <c r="K66" i="1"/>
  <c r="M66" i="1" s="1"/>
  <c r="K56" i="1"/>
  <c r="M56" i="1" s="1"/>
  <c r="J91" i="1"/>
  <c r="J92" i="1"/>
  <c r="Z17" i="1"/>
  <c r="Y17" i="1"/>
  <c r="X17" i="1"/>
  <c r="Z16" i="1"/>
  <c r="Y16" i="1"/>
  <c r="X16" i="1"/>
  <c r="X15" i="1"/>
  <c r="Y15" i="1"/>
  <c r="Z15" i="1"/>
  <c r="H138" i="1"/>
  <c r="I101" i="1" s="1"/>
  <c r="K54" i="1"/>
  <c r="K89" i="1"/>
  <c r="K55" i="1"/>
  <c r="N98" i="3"/>
  <c r="N137" i="3"/>
  <c r="O137" i="3" s="1"/>
  <c r="N99" i="3"/>
  <c r="O99" i="3" s="1"/>
  <c r="N101" i="3" l="1"/>
  <c r="O101" i="3" s="1"/>
  <c r="N132" i="3"/>
  <c r="O132" i="3" s="1"/>
  <c r="U13" i="1"/>
  <c r="Y12" i="1" s="1"/>
  <c r="M75" i="1"/>
  <c r="M59" i="1"/>
  <c r="U16" i="1"/>
  <c r="Y13" i="1" s="1"/>
  <c r="M57" i="1"/>
  <c r="U9" i="1"/>
  <c r="Y9" i="1" s="1"/>
  <c r="M72" i="1"/>
  <c r="U10" i="1"/>
  <c r="Y10" i="1" s="1"/>
  <c r="M64" i="1"/>
  <c r="U8" i="1"/>
  <c r="Y8" i="1" s="1"/>
  <c r="U11" i="1"/>
  <c r="Y11" i="1" s="1"/>
  <c r="M77" i="1"/>
  <c r="K101" i="1"/>
  <c r="I106" i="1"/>
  <c r="I121" i="1"/>
  <c r="I116" i="1"/>
  <c r="K116" i="1" s="1"/>
  <c r="I131" i="1"/>
  <c r="K131" i="1" s="1"/>
  <c r="I107" i="1"/>
  <c r="K107" i="1" s="1"/>
  <c r="I123" i="1"/>
  <c r="K123" i="1" s="1"/>
  <c r="I109" i="1"/>
  <c r="K109" i="1" s="1"/>
  <c r="I134" i="1"/>
  <c r="K134" i="1" s="1"/>
  <c r="I102" i="1"/>
  <c r="I117" i="1"/>
  <c r="K117" i="1" s="1"/>
  <c r="I105" i="1"/>
  <c r="I129" i="1"/>
  <c r="K129" i="1" s="1"/>
  <c r="I104" i="1"/>
  <c r="I125" i="1"/>
  <c r="K125" i="1" s="1"/>
  <c r="I118" i="1"/>
  <c r="K118" i="1" s="1"/>
  <c r="I112" i="1"/>
  <c r="K112" i="1" s="1"/>
  <c r="I130" i="1"/>
  <c r="K130" i="1" s="1"/>
  <c r="I108" i="1"/>
  <c r="K108" i="1" s="1"/>
  <c r="I119" i="1"/>
  <c r="I120" i="1"/>
  <c r="K120" i="1" s="1"/>
  <c r="I133" i="1"/>
  <c r="K133" i="1" s="1"/>
  <c r="I111" i="1"/>
  <c r="I115" i="1"/>
  <c r="K115" i="1" s="1"/>
  <c r="I113" i="1"/>
  <c r="K113" i="1" s="1"/>
  <c r="I122" i="1"/>
  <c r="K122" i="1" s="1"/>
  <c r="I127" i="1"/>
  <c r="K127" i="1" s="1"/>
  <c r="I128" i="1"/>
  <c r="K128" i="1" s="1"/>
  <c r="I124" i="1"/>
  <c r="I103" i="1"/>
  <c r="K103" i="1" s="1"/>
  <c r="I110" i="1"/>
  <c r="K110" i="1" s="1"/>
  <c r="I136" i="1"/>
  <c r="I126" i="1"/>
  <c r="K126" i="1" s="1"/>
  <c r="I114" i="1"/>
  <c r="K114" i="1" s="1"/>
  <c r="I132" i="1"/>
  <c r="K132" i="1" s="1"/>
  <c r="I135" i="1"/>
  <c r="K135" i="1" s="1"/>
  <c r="M54" i="1"/>
  <c r="K91" i="1"/>
  <c r="U7" i="1"/>
  <c r="Y7" i="1" s="1"/>
  <c r="M89" i="1"/>
  <c r="U17" i="1"/>
  <c r="Y14" i="1" s="1"/>
  <c r="M55" i="1"/>
  <c r="U6" i="1"/>
  <c r="Y6" i="1" s="1"/>
  <c r="O98" i="3"/>
  <c r="O139" i="3" s="1"/>
  <c r="P139" i="3" s="1"/>
  <c r="N139" i="3"/>
  <c r="K105" i="1" l="1"/>
  <c r="V7" i="1"/>
  <c r="Z7" i="1" s="1"/>
  <c r="I138" i="1"/>
  <c r="K106" i="1"/>
  <c r="V16" i="1"/>
  <c r="Z13" i="1" s="1"/>
  <c r="K121" i="1"/>
  <c r="V13" i="1"/>
  <c r="Z12" i="1" s="1"/>
  <c r="K102" i="1"/>
  <c r="V6" i="1"/>
  <c r="Z6" i="1" s="1"/>
  <c r="K104" i="1"/>
  <c r="V9" i="1"/>
  <c r="Z9" i="1" s="1"/>
  <c r="K119" i="1"/>
  <c r="V10" i="1"/>
  <c r="Z10" i="1" s="1"/>
  <c r="K111" i="1"/>
  <c r="V8" i="1"/>
  <c r="Z8" i="1" s="1"/>
  <c r="V11" i="1"/>
  <c r="Z11" i="1" s="1"/>
  <c r="K124" i="1"/>
  <c r="K136" i="1"/>
  <c r="V17" i="1"/>
  <c r="Z14" i="1" s="1"/>
  <c r="M91" i="1"/>
  <c r="N91" i="1" s="1"/>
  <c r="K138" i="1" l="1"/>
  <c r="L138"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41" authorId="0" shapeId="0" xr:uid="{11CBFBCC-0AAF-42E3-8D6C-35C6DA642731}">
      <text>
        <r>
          <rPr>
            <b/>
            <sz val="8"/>
            <color indexed="81"/>
            <rFont val="Tahoma"/>
            <family val="2"/>
          </rPr>
          <t>Rendimiento histórico de los dividendos (incluye dividendos de emisoras que no se tienen actualmente)</t>
        </r>
      </text>
    </comment>
    <comment ref="M91"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138"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139"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<sst xmlns="http://schemas.openxmlformats.org/spreadsheetml/2006/main" count="354" uniqueCount="169">
  <si>
    <t>IPC Regresión a la media</t>
  </si>
  <si>
    <t>Ticker</t>
  </si>
  <si>
    <t>Compañía</t>
  </si>
  <si>
    <t>Títulos</t>
  </si>
  <si>
    <t>Costo total</t>
  </si>
  <si>
    <t>% Mi Portafolio</t>
  </si>
  <si>
    <t>% Portafolio Modelo</t>
  </si>
  <si>
    <t>EFECTIVO</t>
  </si>
  <si>
    <t>Costo Promedio Ponderado</t>
  </si>
  <si>
    <t>Valor mercado</t>
  </si>
  <si>
    <t>TOTAL</t>
  </si>
  <si>
    <t>Rendimiento Total</t>
  </si>
  <si>
    <t>Mi Portafolio</t>
  </si>
  <si>
    <t>¿Cuánto quieres invertir?</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</si>
  <si>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</si>
  <si>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</si>
  <si>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</si>
  <si>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</si>
  <si>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</si>
  <si>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</si>
  <si>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</si>
  <si>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</si>
  <si>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</si>
  <si>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</si>
  <si>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Valor inicial portafolio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</si>
  <si>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</si>
  <si>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</si>
  <si>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</si>
  <si>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</si>
  <si>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</si>
  <si>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</si>
  <si>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</si>
  <si>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</si>
  <si>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</si>
  <si>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</si>
  <si>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</si>
  <si>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</si>
  <si>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</si>
  <si>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t>3. En la última columna te marcará las diferencias en peso de cada emisora vs el Portafolio Modelo así como un % de desviación total y calificación de indexación.</t>
  </si>
  <si>
    <t>Universo:</t>
  </si>
  <si>
    <t>Rebalanceo:</t>
  </si>
  <si>
    <t>Monto mínimo sugerido:</t>
  </si>
  <si>
    <t>Fecha de inicio:</t>
  </si>
  <si>
    <t>S&amp;P BMV/IPC</t>
  </si>
  <si>
    <t>Semestral</t>
  </si>
  <si>
    <t>TIIE 1 día promedio mensual</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</si>
  <si>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</si>
  <si>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</si>
  <si>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</si>
  <si>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</si>
  <si>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</si>
  <si>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GICS</t>
  </si>
  <si>
    <t>Consumo básico</t>
  </si>
  <si>
    <t>Industrial</t>
  </si>
  <si>
    <t>Servicios de comunicación</t>
  </si>
  <si>
    <t>Materiales</t>
  </si>
  <si>
    <t>Efectivo</t>
  </si>
  <si>
    <t>GICS únicos</t>
  </si>
  <si>
    <t>PM</t>
  </si>
  <si>
    <t>MP1</t>
  </si>
  <si>
    <t>MP2</t>
  </si>
  <si>
    <t>**Los rendimientos calculados, son brutos (no contemplan ninguna clase de comisión ni impuestos).</t>
  </si>
  <si>
    <t>% Mínimo por emisora</t>
  </si>
  <si>
    <t>% Máximo por emisora</t>
  </si>
  <si>
    <t>OMAB</t>
  </si>
  <si>
    <t>TLEVISACPO</t>
  </si>
  <si>
    <t>CEMEXCPO</t>
  </si>
  <si>
    <t>PINFRA</t>
  </si>
  <si>
    <t>FEMSAUBD</t>
  </si>
  <si>
    <t>KOFUBL</t>
  </si>
  <si>
    <t>ALSEA</t>
  </si>
  <si>
    <t>GRUMAB</t>
  </si>
  <si>
    <t>BIMBOA</t>
  </si>
  <si>
    <t>PE&amp;OLES</t>
  </si>
  <si>
    <t>VESTA</t>
  </si>
  <si>
    <t>GENTERA</t>
  </si>
  <si>
    <t>GCARSOA1</t>
  </si>
  <si>
    <t>CHDRAUIB</t>
  </si>
  <si>
    <t>GFINBURO</t>
  </si>
  <si>
    <t>KIMBERA</t>
  </si>
  <si>
    <t>Q</t>
  </si>
  <si>
    <t>GAPB</t>
  </si>
  <si>
    <t>ORBIA</t>
  </si>
  <si>
    <t>AMXB</t>
  </si>
  <si>
    <t>ASURB</t>
  </si>
  <si>
    <t>CUERVO</t>
  </si>
  <si>
    <t>BOLSAA</t>
  </si>
  <si>
    <t>LIVEPOLC-1</t>
  </si>
  <si>
    <t>MEGACPO</t>
  </si>
  <si>
    <t>Alsea SA</t>
  </si>
  <si>
    <t>Cemex SA CPO</t>
  </si>
  <si>
    <t>Coca-Cola Femsa SAB de CV UBL</t>
  </si>
  <si>
    <t>El Puerto de Liverpool SAB de CV</t>
  </si>
  <si>
    <t>Gentera SAB de CV</t>
  </si>
  <si>
    <t>Grupo Aeroportuario del Pacifico, S.A.B. de C.V.</t>
  </si>
  <si>
    <t>Qualitas Controladora S.A.B de C.V.</t>
  </si>
  <si>
    <t>Industrias Penoles</t>
  </si>
  <si>
    <t>Kimberly Clark de Mexico S.A.B. de C.V. A</t>
  </si>
  <si>
    <t>ORBIA ADVANCE CORPORATION SAB de CV</t>
  </si>
  <si>
    <t>Megacable Holdings SAB de CV</t>
  </si>
  <si>
    <t>Becle, S.A. De C.V.</t>
  </si>
  <si>
    <t>Consumo discrecional</t>
  </si>
  <si>
    <t>Financiero</t>
  </si>
  <si>
    <t>WALMEX</t>
  </si>
  <si>
    <t>GMEXICOB</t>
  </si>
  <si>
    <t>AC</t>
  </si>
  <si>
    <t>BBAJIOO</t>
  </si>
  <si>
    <t>LABB</t>
  </si>
  <si>
    <t>GCC</t>
  </si>
  <si>
    <t>ELEKTRA</t>
  </si>
  <si>
    <t>GFNORTEO</t>
  </si>
  <si>
    <t>RA</t>
  </si>
  <si>
    <t>**En la última pestaña están las posiciones de los rebalanceos de los 12 meses anteriores a los 2 presentados en  la pestaña "Último rebalanceo"</t>
  </si>
  <si>
    <t>Walmart de Mexico SAB de CV</t>
  </si>
  <si>
    <t>Grupo Mexico SAB de CV B</t>
  </si>
  <si>
    <t>Genomma Lab Internacional SA de CV</t>
  </si>
  <si>
    <t>Grupo Comercial Chedraui SA de CV</t>
  </si>
  <si>
    <t>Banco del Bajio, S.A.</t>
  </si>
  <si>
    <t>Rend. Logarítmico</t>
  </si>
  <si>
    <t>Rend. Simple</t>
  </si>
  <si>
    <t>1 de Noviembre 2021</t>
  </si>
  <si>
    <t>LACOMERUBC</t>
  </si>
  <si>
    <t>LASITEB-1</t>
  </si>
  <si>
    <t>SITES1A-1</t>
  </si>
  <si>
    <t>VOLARA</t>
  </si>
  <si>
    <t>Arca Continental, SAB de CV</t>
  </si>
  <si>
    <t>America Movil SAB de CV B</t>
  </si>
  <si>
    <t>Grupo Aeroportuario del Sureste SAB de CV B</t>
  </si>
  <si>
    <t>Grupo Bimbo S.A.B.</t>
  </si>
  <si>
    <t>Bolsa Mexicana de Valores SA de CV</t>
  </si>
  <si>
    <t>Fomento Economico Mexicano S.A.B. de C.V.</t>
  </si>
  <si>
    <t>Grupo Carso SAB de CV</t>
  </si>
  <si>
    <t>Grupo Cementos de Chihuahua SAB de CV</t>
  </si>
  <si>
    <t>Grupo Financiero Inbursa O</t>
  </si>
  <si>
    <t>Grupo Financiero Banorte O</t>
  </si>
  <si>
    <t>Gruma SAB B</t>
  </si>
  <si>
    <t>Grupo Aeroportuario del Centro Norte, S.A.B. de C.V.</t>
  </si>
  <si>
    <t>Promotora y Operadora de Infraestructura SAB de CV</t>
  </si>
  <si>
    <t>Regional, S.A. de C.V.</t>
  </si>
  <si>
    <t>Grupo Televisa SAB CPO</t>
  </si>
  <si>
    <t>Corporacion Inmobiliaria Vesta, S.A.B. DE C.V.</t>
  </si>
  <si>
    <r>
      <t>La Comer, S.A.B. de </t>
    </r>
    <r>
      <rPr>
        <b/>
        <sz val="7"/>
        <color rgb="FF5F6368"/>
        <rFont val="Arial"/>
        <family val="2"/>
      </rPr>
      <t>C.V.</t>
    </r>
  </si>
  <si>
    <t>Cuidado de la Salud</t>
  </si>
  <si>
    <t>Inmobiliario</t>
  </si>
  <si>
    <t>NA</t>
  </si>
  <si>
    <t>IPC GMVP</t>
  </si>
  <si>
    <t>0-5%</t>
  </si>
  <si>
    <t>Toma todas las emisoras componentes del índice S&amp;P BMV/IPC, asignándoles la ponderación de acuerdo al método de Portafolio Global de Mínima Varianza (GMVP) de sus rendimientos diarios de los últimos 12 meses. Si alguna ponderación no alcanza a completar al menos 1 título, dicha emisora quedará en 0. Busca estar 100% invertido o lo más cercano a ello.</t>
  </si>
  <si>
    <t>Acciones fraccionadas</t>
  </si>
  <si>
    <t>No</t>
  </si>
  <si>
    <t>*Para el remanente de efectivo, se puede seleccionar entre un rendimiento igual al promedio mensual de la TIIE de fondeo a 1 día durante el período entre rebalanceos (base 30/360) o si se quiere omitir, seleccionar 0 en la casilla de TIIE en la pestaña último rebalanceo. No se incluyen los dividendos cobrados en el período para el cálculo.</t>
  </si>
  <si>
    <t>AGREGA TUS TÍTULOS Y COSTO ACTUAL (ANTES DE ESTE REBALANCEO) Y EN LA PARTE INFERIOR CAMBIA A TUS PRECIOS REALES DE EJECUCIÓN (VIENEN POR DEFAULT LOS ÚLTIMOS DE CIERRE A LA FECHA DEL REBALANCEO) PARA OBTENER EL NÚMERO DE TÍTULOS A COMPRAR (VENDER) POR EMISORA.</t>
  </si>
  <si>
    <t>Valor final</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</si>
  <si>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</si>
  <si>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</si>
  <si>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Medio (10-15%)</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</si>
  <si>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una aproximación del rendimiento total de cada una de acuerdo a su costo promedio ponderado actual, caso contrario, la columna de "Rendimiento Total" por emisora se convierte en rendimiento simple al momento pero en ningún caso afecta el cálculo del rendimiento total del portafolio.</t>
    </r>
  </si>
  <si>
    <t>Cuidado de la salud</t>
  </si>
  <si>
    <t>TI</t>
  </si>
  <si>
    <t>Servicios básicos</t>
  </si>
  <si>
    <t>Energía</t>
  </si>
  <si>
    <t>#NA</t>
  </si>
  <si>
    <t>PORTAFOLIO</t>
  </si>
  <si>
    <t>IPC IRT</t>
  </si>
  <si>
    <t>al 2-May-25</t>
  </si>
  <si>
    <t>Controladora Vuela Compania de Aviacion SAB de CV</t>
  </si>
  <si>
    <t>SIGMAFA</t>
  </si>
  <si>
    <t>Sigma Foods SAB de CV</t>
  </si>
  <si>
    <t>al 31-Oct-25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</si>
</sst>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8" formatCode="&quot;$&quot;#,##0.00_);[Red]\(&quot;$&quot;#,##0.00\)"/>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3"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sz val="11"/>
      <color theme="6" tint="0.79998168889431442"/>
      <name val="Microsoft JhengHei"/>
      <family val="2"/>
    </font>
    <font>
      <b/>
      <sz val="10"/>
      <color rgb="FF002060"/>
      <name val="Microsoft JhengHei"/>
      <family val="2"/>
    </font>
    <font>
      <sz val="10"/>
      <color theme="6" tint="0.79998168889431442"/>
      <name val="Microsoft JhengHei"/>
      <family val="2"/>
    </font>
    <font>
      <i/>
      <sz val="9"/>
      <color rgb="FF002060"/>
      <name val="Microsoft JhengHei"/>
      <family val="2"/>
    </font>
    <font>
      <sz val="10"/>
      <color theme="1"/>
      <name val="BrowalliaUPC"/>
      <family val="2"/>
      <charset val="222"/>
    </font>
    <font>
      <b/>
      <sz val="7"/>
      <color rgb="FF5F6368"/>
      <name val="Arial"/>
      <family val="2"/>
    </font>
    <font>
      <b/>
      <sz val="9"/>
      <color theme="0"/>
      <name val="Malgun Gothic"/>
      <family val="2"/>
    </font>
    <font>
      <b/>
      <i/>
      <sz val="9"/>
      <color rgb="FF002060"/>
      <name val="Microsoft JhengHei"/>
      <family val="2"/>
    </font>
    <font>
      <sz val="10"/>
      <color theme="0"/>
      <name val="BrowalliaUPC"/>
      <family val="2"/>
      <charset val="222"/>
    </font>
    <font>
      <sz val="10"/>
      <name val="BrowalliaUPC"/>
      <family val="2"/>
      <charset val="222"/>
    </font>
    <font>
      <sz val="8"/>
      <color theme="0"/>
      <name val="Malgun Gothic Semilight"/>
      <family val="2"/>
    </font>
    <font>
      <sz val="9"/>
      <color theme="0"/>
      <name val="Microsoft JhengHei"/>
      <family val="2"/>
    </font>
    <font>
      <sz val="9"/>
      <color theme="0"/>
      <name val="Malgun Gothic"/>
      <family val="2"/>
    </font>
    <font>
      <b/>
      <sz val="8"/>
      <color indexed="81"/>
      <name val="Tahoma"/>
      <family val="2"/>
    </font>
  </fonts>
  <fills count="9">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s>
  <borders count="35">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right style="thick">
        <color theme="3" tint="0.79998168889431442"/>
      </right>
      <top style="thick">
        <color theme="3" tint="0.79998168889431442"/>
      </top>
      <bottom/>
      <diagonal/>
    </border>
    <border>
      <left style="thin">
        <color theme="0"/>
      </left>
      <right style="thin">
        <color theme="0"/>
      </right>
      <top style="thin">
        <color theme="0"/>
      </top>
      <bottom style="thin">
        <color theme="0"/>
      </bottom>
      <diagonal/>
    </border>
    <border>
      <left style="medium">
        <color theme="4" tint="0.39997558519241921"/>
      </left>
      <right style="thick">
        <color theme="3" tint="0.79998168889431442"/>
      </right>
      <top style="thick">
        <color theme="3" tint="0.79998168889431442"/>
      </top>
      <bottom/>
      <diagonal/>
    </border>
    <border>
      <left style="thick">
        <color theme="3" tint="0.79998168889431442"/>
      </left>
      <right style="thick">
        <color theme="3" tint="0.79998168889431442"/>
      </right>
      <top style="thick">
        <color theme="3" tint="0.79998168889431442"/>
      </top>
      <bottom/>
      <diagonal/>
    </border>
    <border>
      <left style="thick">
        <color theme="3" tint="0.79998168889431442"/>
      </left>
      <right/>
      <top style="thick">
        <color theme="3" tint="0.79998168889431442"/>
      </top>
      <bottom style="medium">
        <color theme="4" tint="0.39997558519241921"/>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63">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43" fontId="2" fillId="0" borderId="1" xfId="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0" fontId="2" fillId="0" borderId="4" xfId="0" applyFont="1" applyBorder="1"/>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0" fontId="2" fillId="0" borderId="17"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19"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164" fontId="3" fillId="0" borderId="0" xfId="3" applyNumberFormat="1" applyFont="1" applyFill="1" applyBorder="1"/>
    <xf numFmtId="9" fontId="3" fillId="0" borderId="0" xfId="3" applyFont="1" applyFill="1"/>
    <xf numFmtId="0" fontId="13" fillId="0" borderId="0" xfId="0" applyFont="1"/>
    <xf numFmtId="168" fontId="18"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1" fillId="0" borderId="0" xfId="0" applyFont="1"/>
    <xf numFmtId="0" fontId="22" fillId="0" borderId="0" xfId="0" applyFont="1" applyAlignment="1">
      <alignment vertical="center" wrapText="1"/>
    </xf>
    <xf numFmtId="0" fontId="26" fillId="0" borderId="0" xfId="0" applyFont="1"/>
    <xf numFmtId="0" fontId="27" fillId="0" borderId="0" xfId="0" applyFont="1"/>
    <xf numFmtId="0" fontId="23" fillId="7" borderId="0" xfId="0" applyFont="1" applyFill="1" applyAlignment="1">
      <alignment vertical="center"/>
    </xf>
    <xf numFmtId="0" fontId="24" fillId="7" borderId="0" xfId="0" applyFont="1" applyFill="1" applyAlignment="1">
      <alignment vertical="center"/>
    </xf>
    <xf numFmtId="0" fontId="23" fillId="3" borderId="0" xfId="0" applyFont="1" applyFill="1" applyAlignment="1">
      <alignment vertical="center"/>
    </xf>
    <xf numFmtId="0" fontId="24" fillId="3" borderId="0" xfId="0" applyFont="1" applyFill="1" applyAlignment="1">
      <alignment vertical="center"/>
    </xf>
    <xf numFmtId="0" fontId="30" fillId="0" borderId="0" xfId="0" applyFont="1"/>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28" fillId="0" borderId="0" xfId="0" applyFont="1" applyAlignment="1">
      <alignment wrapText="1"/>
    </xf>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10" fontId="33" fillId="0" borderId="0" xfId="3" applyNumberFormat="1" applyFont="1"/>
    <xf numFmtId="0" fontId="31" fillId="6" borderId="29" xfId="0" applyFont="1" applyFill="1" applyBorder="1" applyAlignment="1">
      <alignment horizontal="center"/>
    </xf>
    <xf numFmtId="43" fontId="11" fillId="4" borderId="17" xfId="1" applyFont="1" applyFill="1" applyBorder="1" applyProtection="1">
      <protection locked="0"/>
    </xf>
    <xf numFmtId="0" fontId="7" fillId="6" borderId="4" xfId="0" applyFont="1" applyFill="1" applyBorder="1"/>
    <xf numFmtId="44" fontId="7" fillId="6" borderId="4" xfId="2" applyFont="1" applyFill="1" applyBorder="1"/>
    <xf numFmtId="9" fontId="31" fillId="6" borderId="29" xfId="3" applyFont="1" applyFill="1" applyBorder="1" applyAlignment="1">
      <alignment horizontal="right" vertical="center"/>
    </xf>
    <xf numFmtId="0" fontId="32" fillId="0" borderId="0" xfId="0" applyFont="1" applyAlignment="1">
      <alignment vertical="center" wrapText="1"/>
    </xf>
    <xf numFmtId="164" fontId="3" fillId="0" borderId="0" xfId="0" applyNumberFormat="1" applyFont="1" applyAlignment="1">
      <alignment horizontal="center"/>
    </xf>
    <xf numFmtId="164" fontId="2" fillId="4" borderId="0" xfId="0" applyNumberFormat="1" applyFont="1" applyFill="1"/>
    <xf numFmtId="167" fontId="2" fillId="0" borderId="20" xfId="1" applyNumberFormat="1" applyFont="1" applyBorder="1"/>
    <xf numFmtId="167" fontId="2" fillId="0" borderId="1" xfId="0" applyNumberFormat="1" applyFont="1" applyBorder="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18" fillId="0" borderId="0" xfId="3" applyNumberFormat="1" applyFont="1"/>
    <xf numFmtId="10" fontId="35" fillId="0" borderId="0" xfId="3" applyNumberFormat="1" applyFont="1"/>
    <xf numFmtId="0" fontId="3" fillId="3" borderId="1" xfId="0" applyFont="1" applyFill="1" applyBorder="1" applyAlignment="1">
      <alignment horizontal="center" vertical="center" wrapText="1"/>
    </xf>
    <xf numFmtId="165" fontId="31" fillId="6" borderId="29" xfId="2" applyNumberFormat="1" applyFont="1" applyFill="1" applyBorder="1" applyAlignment="1">
      <alignment horizontal="right" vertical="center"/>
    </xf>
    <xf numFmtId="10" fontId="18" fillId="0" borderId="0" xfId="3" applyNumberFormat="1" applyFont="1" applyProtection="1">
      <protection locked="0"/>
    </xf>
    <xf numFmtId="0" fontId="3" fillId="3" borderId="12" xfId="0" applyFont="1" applyFill="1" applyBorder="1" applyAlignment="1">
      <alignment horizontal="center" wrapText="1"/>
    </xf>
    <xf numFmtId="10" fontId="38" fillId="0" borderId="0" xfId="3" applyNumberFormat="1" applyFont="1"/>
    <xf numFmtId="0" fontId="7" fillId="3" borderId="0" xfId="0" applyFont="1" applyFill="1" applyAlignment="1">
      <alignment horizontal="center"/>
    </xf>
    <xf numFmtId="167" fontId="39" fillId="0" borderId="0" xfId="0" applyNumberFormat="1" applyFont="1"/>
    <xf numFmtId="44" fontId="2" fillId="0" borderId="30" xfId="2" applyFont="1" applyBorder="1"/>
    <xf numFmtId="0" fontId="2" fillId="0" borderId="32" xfId="0" applyFont="1" applyBorder="1"/>
    <xf numFmtId="44" fontId="2" fillId="0" borderId="33" xfId="0" applyNumberFormat="1" applyFont="1" applyBorder="1"/>
    <xf numFmtId="44" fontId="11" fillId="4" borderId="30" xfId="2" applyFont="1" applyFill="1" applyBorder="1" applyProtection="1">
      <protection locked="0"/>
    </xf>
    <xf numFmtId="0" fontId="3" fillId="2" borderId="8" xfId="0" applyFont="1" applyFill="1" applyBorder="1"/>
    <xf numFmtId="15" fontId="3" fillId="2" borderId="7" xfId="0" applyNumberFormat="1" applyFont="1" applyFill="1" applyBorder="1"/>
    <xf numFmtId="0" fontId="37" fillId="0" borderId="0" xfId="0" applyFont="1"/>
    <xf numFmtId="43" fontId="37" fillId="0" borderId="31" xfId="0" applyNumberFormat="1" applyFont="1" applyBorder="1"/>
    <xf numFmtId="10" fontId="37" fillId="0" borderId="0" xfId="3" applyNumberFormat="1" applyFont="1"/>
    <xf numFmtId="0" fontId="40" fillId="0" borderId="0" xfId="0" applyFont="1"/>
    <xf numFmtId="15" fontId="41" fillId="8" borderId="0" xfId="0" applyNumberFormat="1" applyFont="1" applyFill="1" applyAlignment="1">
      <alignment horizontal="left" vertical="center"/>
    </xf>
    <xf numFmtId="0" fontId="41" fillId="0" borderId="0" xfId="0" applyFont="1"/>
    <xf numFmtId="164" fontId="40" fillId="0" borderId="0" xfId="3" applyNumberFormat="1" applyFont="1"/>
    <xf numFmtId="165" fontId="20" fillId="4" borderId="2" xfId="2" applyNumberFormat="1" applyFont="1" applyFill="1" applyBorder="1" applyAlignment="1" applyProtection="1">
      <protection locked="0"/>
    </xf>
    <xf numFmtId="164" fontId="2" fillId="0" borderId="34" xfId="3" applyNumberFormat="1" applyFont="1" applyBorder="1"/>
    <xf numFmtId="0" fontId="24" fillId="0" borderId="0" xfId="0" applyFont="1"/>
    <xf numFmtId="8" fontId="0" fillId="0" borderId="0" xfId="0" applyNumberFormat="1"/>
    <xf numFmtId="0" fontId="32" fillId="0" borderId="0" xfId="0" applyFont="1" applyAlignment="1">
      <alignment horizontal="left" vertical="center" wrapText="1"/>
    </xf>
    <xf numFmtId="0" fontId="23" fillId="7" borderId="0" xfId="0" applyFont="1" applyFill="1" applyAlignment="1">
      <alignment horizontal="left" vertical="center" wrapText="1"/>
    </xf>
    <xf numFmtId="0" fontId="23" fillId="3" borderId="0" xfId="0" applyFont="1" applyFill="1" applyAlignment="1">
      <alignment horizontal="left" vertical="center" wrapText="1"/>
    </xf>
    <xf numFmtId="0" fontId="29" fillId="6" borderId="0" xfId="0" applyFont="1" applyFill="1" applyAlignment="1">
      <alignment horizontal="left" vertical="center" wrapText="1"/>
    </xf>
    <xf numFmtId="0" fontId="26" fillId="4" borderId="0" xfId="0" applyFont="1" applyFill="1" applyAlignment="1">
      <alignment horizontal="left"/>
    </xf>
    <xf numFmtId="0" fontId="32" fillId="0" borderId="0" xfId="0" applyFont="1" applyAlignment="1">
      <alignment horizontal="left" wrapText="1"/>
    </xf>
    <xf numFmtId="0" fontId="32" fillId="0" borderId="0" xfId="0" applyFont="1" applyAlignment="1">
      <alignment horizontal="left"/>
    </xf>
    <xf numFmtId="0" fontId="28" fillId="2" borderId="0" xfId="0" applyFont="1" applyFill="1" applyAlignment="1">
      <alignment horizontal="left" wrapText="1"/>
    </xf>
    <xf numFmtId="0" fontId="28" fillId="2" borderId="0" xfId="0" applyFont="1" applyFill="1" applyAlignment="1">
      <alignment horizontal="left"/>
    </xf>
    <xf numFmtId="0" fontId="6" fillId="0" borderId="0" xfId="0" applyFont="1" applyAlignment="1">
      <alignment horizontal="left"/>
    </xf>
    <xf numFmtId="0" fontId="14" fillId="0" borderId="2" xfId="0" applyFont="1" applyBorder="1" applyAlignment="1">
      <alignment horizontal="left"/>
    </xf>
    <xf numFmtId="0" fontId="8" fillId="5" borderId="3" xfId="0" applyFont="1" applyFill="1" applyBorder="1" applyAlignment="1">
      <alignment horizontal="left"/>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13" fillId="2" borderId="0" xfId="0" applyFont="1" applyFill="1" applyAlignment="1">
      <alignment horizontal="left" wrapText="1"/>
    </xf>
    <xf numFmtId="0" fontId="13" fillId="2" borderId="0" xfId="0" applyFont="1" applyFill="1" applyAlignment="1">
      <alignment horizontal="left"/>
    </xf>
    <xf numFmtId="0" fontId="17" fillId="6" borderId="0" xfId="0" applyFont="1" applyFill="1" applyAlignment="1">
      <alignment horizontal="left"/>
    </xf>
    <xf numFmtId="0" fontId="16" fillId="0" borderId="0" xfId="0" applyFont="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8" fillId="5" borderId="0" xfId="0" applyFont="1" applyFill="1" applyAlignment="1">
      <alignment horizontal="left"/>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cellXfs>
  <cellStyles count="4">
    <cellStyle name="Millares" xfId="1" builtinId="3"/>
    <cellStyle name="Moneda" xfId="2" builtinId="4"/>
    <cellStyle name="Normal" xfId="0" builtinId="0"/>
    <cellStyle name="Porcentaje" xfId="3" builtinId="5"/>
  </cellStyles>
  <dxfs count="31">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s>
  <tableStyles count="0" defaultTableStyle="TableStyleMedium2" defaultPivotStyle="PivotStyleLight16"/>
  <colors>
    <mruColors>
      <color rgb="FF7847C9"/>
      <color rgb="FF784FC9"/>
      <color rgb="FF8F45C7"/>
      <color rgb="FF8C47C5"/>
      <color rgb="FFCDACE6"/>
      <color rgb="FFF325C7"/>
      <color rgb="FF9FB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209072235535775"/>
          <c:y val="7.3743824967343066E-2"/>
          <c:w val="0.83630058199246837"/>
          <c:h val="0.82523637016855778"/>
        </c:manualLayout>
      </c:layout>
      <c:lineChart>
        <c:grouping val="standard"/>
        <c:varyColors val="0"/>
        <c:ser>
          <c:idx val="0"/>
          <c:order val="0"/>
          <c:tx>
            <c:strRef>
              <c:f>Estrategia!$B$21</c:f>
              <c:strCache>
                <c:ptCount val="1"/>
                <c:pt idx="0">
                  <c:v>PORTAFOLIO</c:v>
                </c:pt>
              </c:strCache>
            </c:strRef>
          </c:tx>
          <c:spPr>
            <a:ln w="34925" cap="rnd">
              <a:solidFill>
                <a:srgbClr val="7847C9"/>
              </a:solidFill>
              <a:round/>
            </a:ln>
            <a:effectLst>
              <a:outerShdw blurRad="57150" dist="19050" dir="5400000" algn="ctr" rotWithShape="0">
                <a:srgbClr val="000000">
                  <a:alpha val="63000"/>
                </a:srgbClr>
              </a:outerShdw>
            </a:effectLst>
          </c:spPr>
          <c:marker>
            <c:symbol val="none"/>
          </c:marker>
          <c:dLbls>
            <c:dLbl>
              <c:idx val="7"/>
              <c:layout>
                <c:manualLayout>
                  <c:x val="-0.1478260869565218"/>
                  <c:y val="-1.5209125475285173E-2"/>
                </c:manualLayout>
              </c:layout>
              <c:spPr>
                <a:solidFill>
                  <a:sysClr val="window" lastClr="FFFFFF"/>
                </a:solidFill>
                <a:ln>
                  <a:solidFill>
                    <a:srgbClr val="7847C9"/>
                  </a:solidFill>
                </a:ln>
                <a:effectLst/>
              </c:spPr>
              <c:txPr>
                <a:bodyPr rot="0" spcFirstLastPara="1" vertOverflow="clip" horzOverflow="clip" vert="horz" wrap="square" lIns="38100" tIns="19050" rIns="38100" bIns="19050" anchor="ctr" anchorCtr="1">
                  <a:noAutofit/>
                </a:bodyPr>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5830058199246836"/>
                      <c:h val="0.10048561420316757"/>
                    </c:manualLayout>
                  </c15:layout>
                </c:ext>
                <c:ext xmlns:c16="http://schemas.microsoft.com/office/drawing/2014/chart" uri="{C3380CC4-5D6E-409C-BE32-E72D297353CC}">
                  <c16:uniqueId val="{00000002-E1E8-4A4B-8A12-D41C2D19F3E4}"/>
                </c:ext>
              </c:extLst>
            </c:dLbl>
            <c:spPr>
              <a:solidFill>
                <a:sysClr val="window" lastClr="FFFFFF"/>
              </a:solidFill>
              <a:ln>
                <a:noFill/>
              </a:ln>
              <a:effectLst/>
            </c:spPr>
            <c:txPr>
              <a:bodyPr rot="0" spcFirstLastPara="1" vertOverflow="clip" horzOverflow="clip" vert="horz" wrap="square" lIns="38100" tIns="19050" rIns="38100" bIns="19050" anchor="ctr" anchorCtr="1">
                <a:spAutoFit/>
              </a:bodyPr>
              <a:lstStyle/>
              <a:p>
                <a:pPr>
                  <a:defRPr sz="8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Estrategia!$C$20:$J$20</c:f>
              <c:numCache>
                <c:formatCode>d\-mmm\-yy</c:formatCode>
                <c:ptCount val="8"/>
                <c:pt idx="0">
                  <c:v>44866</c:v>
                </c:pt>
                <c:pt idx="1">
                  <c:v>45048</c:v>
                </c:pt>
                <c:pt idx="2">
                  <c:v>45231</c:v>
                </c:pt>
                <c:pt idx="3">
                  <c:v>45414</c:v>
                </c:pt>
                <c:pt idx="4">
                  <c:v>45597</c:v>
                </c:pt>
                <c:pt idx="5">
                  <c:v>45779</c:v>
                </c:pt>
                <c:pt idx="6">
                  <c:v>45961</c:v>
                </c:pt>
                <c:pt idx="7">
                  <c:v>46142</c:v>
                </c:pt>
              </c:numCache>
            </c:numRef>
          </c:cat>
          <c:val>
            <c:numRef>
              <c:f>Estrategia!$C$21:$J$21</c:f>
              <c:numCache>
                <c:formatCode>0.0%</c:formatCode>
                <c:ptCount val="8"/>
                <c:pt idx="0">
                  <c:v>7.9134165493924102E-2</c:v>
                </c:pt>
                <c:pt idx="1">
                  <c:v>0.19940470555756445</c:v>
                </c:pt>
                <c:pt idx="2">
                  <c:v>0.11890852931282876</c:v>
                </c:pt>
                <c:pt idx="3">
                  <c:v>0.3320696510293108</c:v>
                </c:pt>
                <c:pt idx="4">
                  <c:v>0.31856384848921998</c:v>
                </c:pt>
                <c:pt idx="5">
                  <c:v>0.40400078431130082</c:v>
                </c:pt>
                <c:pt idx="6">
                  <c:v>0.51877376473111925</c:v>
                </c:pt>
                <c:pt idx="7">
                  <c:v>0.59037386417247317</c:v>
                </c:pt>
              </c:numCache>
            </c:numRef>
          </c:val>
          <c:smooth val="0"/>
          <c:extLst>
            <c:ext xmlns:c16="http://schemas.microsoft.com/office/drawing/2014/chart" uri="{C3380CC4-5D6E-409C-BE32-E72D297353CC}">
              <c16:uniqueId val="{00000002-14BA-4584-AC9F-6D368458C1E6}"/>
            </c:ext>
          </c:extLst>
        </c:ser>
        <c:ser>
          <c:idx val="1"/>
          <c:order val="1"/>
          <c:tx>
            <c:strRef>
              <c:f>Estrategia!$B$22</c:f>
              <c:strCache>
                <c:ptCount val="1"/>
                <c:pt idx="0">
                  <c:v>IPC IRT</c:v>
                </c:pt>
              </c:strCache>
            </c:strRef>
          </c:tx>
          <c:spPr>
            <a:ln w="34925" cap="rnd">
              <a:solidFill>
                <a:schemeClr val="accent2"/>
              </a:solidFill>
              <a:round/>
            </a:ln>
            <a:effectLst>
              <a:outerShdw blurRad="57150" dist="19050" dir="5400000" algn="ctr" rotWithShape="0">
                <a:srgbClr val="000000">
                  <a:alpha val="63000"/>
                </a:srgbClr>
              </a:outerShdw>
            </a:effectLst>
          </c:spPr>
          <c:marker>
            <c:symbol val="none"/>
          </c:marker>
          <c:dLbls>
            <c:dLbl>
              <c:idx val="7"/>
              <c:layout>
                <c:manualLayout>
                  <c:x val="-0.10000000000000007"/>
                  <c:y val="-3.8022813688212927E-2"/>
                </c:manualLayout>
              </c:layout>
              <c:spPr>
                <a:solidFill>
                  <a:sysClr val="window" lastClr="FFFFFF"/>
                </a:solidFill>
                <a:ln>
                  <a:solidFill>
                    <a:srgbClr val="ED7D31"/>
                  </a:solidFill>
                </a:ln>
                <a:effectLst/>
              </c:spPr>
              <c:txPr>
                <a:bodyPr rot="0" spcFirstLastPara="1" vertOverflow="clip" horzOverflow="clip" vert="horz" wrap="square" lIns="38100" tIns="19050" rIns="38100" bIns="19050" anchor="ctr" anchorCtr="1">
                  <a:spAutoFit/>
                </a:bodyPr>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0-E1E8-4A4B-8A12-D41C2D19F3E4}"/>
                </c:ext>
              </c:extLst>
            </c:dLbl>
            <c:spPr>
              <a:solidFill>
                <a:sysClr val="window" lastClr="FFFFFF"/>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Estrategia!$C$20:$J$20</c:f>
              <c:numCache>
                <c:formatCode>d\-mmm\-yy</c:formatCode>
                <c:ptCount val="8"/>
                <c:pt idx="0">
                  <c:v>44866</c:v>
                </c:pt>
                <c:pt idx="1">
                  <c:v>45048</c:v>
                </c:pt>
                <c:pt idx="2">
                  <c:v>45231</c:v>
                </c:pt>
                <c:pt idx="3">
                  <c:v>45414</c:v>
                </c:pt>
                <c:pt idx="4">
                  <c:v>45597</c:v>
                </c:pt>
                <c:pt idx="5">
                  <c:v>45779</c:v>
                </c:pt>
                <c:pt idx="6">
                  <c:v>45961</c:v>
                </c:pt>
                <c:pt idx="7">
                  <c:v>46142</c:v>
                </c:pt>
              </c:numCache>
            </c:numRef>
          </c:cat>
          <c:val>
            <c:numRef>
              <c:f>Estrategia!$C$22:$J$22</c:f>
              <c:numCache>
                <c:formatCode>0.0%</c:formatCode>
                <c:ptCount val="8"/>
                <c:pt idx="0">
                  <c:v>-5.7201165668863303E-4</c:v>
                </c:pt>
                <c:pt idx="1">
                  <c:v>0.11545613482270309</c:v>
                </c:pt>
                <c:pt idx="2">
                  <c:v>2.0632277591742951E-2</c:v>
                </c:pt>
                <c:pt idx="3">
                  <c:v>0.17776338457729252</c:v>
                </c:pt>
                <c:pt idx="4">
                  <c:v>8.4476143122673417E-2</c:v>
                </c:pt>
                <c:pt idx="5">
                  <c:v>0.20420556221432268</c:v>
                </c:pt>
                <c:pt idx="6">
                  <c:v>0.33910389046600231</c:v>
                </c:pt>
                <c:pt idx="7">
                  <c:v>0.43319878859484373</c:v>
                </c:pt>
              </c:numCache>
            </c:numRef>
          </c:val>
          <c:smooth val="0"/>
          <c:extLst>
            <c:ext xmlns:c16="http://schemas.microsoft.com/office/drawing/2014/chart" uri="{C3380CC4-5D6E-409C-BE32-E72D297353CC}">
              <c16:uniqueId val="{00000005-14BA-4584-AC9F-6D368458C1E6}"/>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m/d/yy;@" sourceLinked="0"/>
        <c:majorTickMark val="none"/>
        <c:minorTickMark val="none"/>
        <c:tickLblPos val="nextTo"/>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200"/>
        <c:noMultiLvlLbl val="0"/>
      </c:catAx>
      <c:valAx>
        <c:axId val="917477360"/>
        <c:scaling>
          <c:orientation val="minMax"/>
          <c:min val="-5.000000000000001E-2"/>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majorUnit val="0.1"/>
      </c:valAx>
      <c:spPr>
        <a:noFill/>
        <a:ln>
          <a:solidFill>
            <a:schemeClr val="accent1">
              <a:lumMod val="20000"/>
              <a:lumOff val="80000"/>
            </a:schemeClr>
          </a:solidFill>
        </a:ln>
        <a:effectLst/>
      </c:spPr>
    </c:plotArea>
    <c:plotVisOnly val="1"/>
    <c:dispBlanksAs val="gap"/>
    <c:showDLblsOverMax val="0"/>
    <c:extLst/>
  </c:chart>
  <c:spPr>
    <a:solidFill>
      <a:schemeClr val="bg1"/>
    </a:solid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sectores (GICS)</a:t>
            </a:r>
            <a:endParaRPr lang="en-US" sz="1400"/>
          </a:p>
        </c:rich>
      </c:tx>
      <c:layout>
        <c:manualLayout>
          <c:xMode val="edge"/>
          <c:yMode val="edge"/>
          <c:x val="0.2031024381633838"/>
          <c:y val="1.6651275527039093E-2"/>
        </c:manualLayout>
      </c:layout>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E75B-4837-AAD9-3C6A82A2DC99}"/>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E75B-4837-AAD9-3C6A82A2DC99}"/>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E75B-4837-AAD9-3C6A82A2DC99}"/>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E75B-4837-AAD9-3C6A82A2DC99}"/>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8797-4268-AE9D-605EB3FF68E5}"/>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8797-4268-AE9D-605EB3FF68E5}"/>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B879-4282-A3FE-120A4EAD0A6B}"/>
              </c:ext>
            </c:extLst>
          </c:dPt>
          <c:dLbls>
            <c:dLbl>
              <c:idx val="4"/>
              <c:layout>
                <c:manualLayout>
                  <c:x val="-3.0102475501261002E-2"/>
                  <c:y val="0.14715531968919368"/>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770D-4853-B367-2F1192322F55}"/>
                </c:ext>
              </c:extLst>
            </c:dLbl>
            <c:dLbl>
              <c:idx val="5"/>
              <c:layout>
                <c:manualLayout>
                  <c:x val="-0.12330969732558969"/>
                  <c:y val="0.29023129539493897"/>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75B-4837-AAD9-3C6A82A2DC99}"/>
                </c:ext>
              </c:extLst>
            </c:dLbl>
            <c:dLbl>
              <c:idx val="6"/>
              <c:layout>
                <c:manualLayout>
                  <c:x val="-0.14109474656067236"/>
                  <c:y val="9.9795333534663716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D-E75B-4837-AAD9-3C6A82A2DC99}"/>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Consumo básico </c:v>
                </c:pt>
                <c:pt idx="1">
                  <c:v> Industrial </c:v>
                </c:pt>
                <c:pt idx="2">
                  <c:v> Consumo discrecional </c:v>
                </c:pt>
                <c:pt idx="3">
                  <c:v> Materiales </c:v>
                </c:pt>
                <c:pt idx="4">
                  <c:v> Financiero </c:v>
                </c:pt>
                <c:pt idx="5">
                  <c:v> Cuidado de la salud </c:v>
                </c:pt>
                <c:pt idx="6">
                  <c:v> Inmobiliario </c:v>
                </c:pt>
                <c:pt idx="7">
                  <c:v> Servicios de comunicación </c:v>
                </c:pt>
                <c:pt idx="8">
                  <c:v> Efectivo </c:v>
                </c:pt>
                <c:pt idx="9">
                  <c:v> #NA </c:v>
                </c:pt>
                <c:pt idx="10">
                  <c:v> #NA </c:v>
                </c:pt>
                <c:pt idx="11">
                  <c:v> #NA </c:v>
                </c:pt>
              </c:strCache>
            </c:strRef>
          </c:cat>
          <c:val>
            <c:numRef>
              <c:f>'Portafolio Actual'!$X$6:$X$17</c:f>
              <c:numCache>
                <c:formatCode>0.00%</c:formatCode>
                <c:ptCount val="12"/>
                <c:pt idx="0">
                  <c:v>0.20690245350898873</c:v>
                </c:pt>
                <c:pt idx="1">
                  <c:v>0.12449859141478267</c:v>
                </c:pt>
                <c:pt idx="2">
                  <c:v>0.13536089652603386</c:v>
                </c:pt>
                <c:pt idx="3">
                  <c:v>0.19138642631485484</c:v>
                </c:pt>
                <c:pt idx="4">
                  <c:v>0.20444326859235781</c:v>
                </c:pt>
                <c:pt idx="5">
                  <c:v>3.5066491869341784E-2</c:v>
                </c:pt>
                <c:pt idx="6">
                  <c:v>2.20513194218818E-2</c:v>
                </c:pt>
                <c:pt idx="7">
                  <c:v>7.0776206327963706E-2</c:v>
                </c:pt>
                <c:pt idx="8">
                  <c:v>9.5143460237950821E-3</c:v>
                </c:pt>
                <c:pt idx="9">
                  <c:v>#N/A</c:v>
                </c:pt>
                <c:pt idx="10">
                  <c:v>#N/A</c:v>
                </c:pt>
                <c:pt idx="11">
                  <c:v>#N/A</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sectores (GICS)</a:t>
            </a:r>
            <a:endParaRPr lang="en-US" sz="1400">
              <a:solidFill>
                <a:schemeClr val="bg1"/>
              </a:solidFill>
            </a:endParaRPr>
          </a:p>
        </c:rich>
      </c:tx>
      <c:layout>
        <c:manualLayout>
          <c:xMode val="edge"/>
          <c:yMode val="edge"/>
          <c:x val="0.19910046950012444"/>
          <c:y val="1.1100850351359395E-2"/>
        </c:manualLayout>
      </c:layout>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0C67-497F-B27E-A39059413FF5}"/>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0C67-497F-B27E-A39059413FF5}"/>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0C67-497F-B27E-A39059413FF5}"/>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0C67-497F-B27E-A39059413FF5}"/>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40CC-429D-AC0E-5B97ADD2946E}"/>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40CC-429D-AC0E-5B97ADD2946E}"/>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40CC-429D-AC0E-5B97ADD2946E}"/>
              </c:ext>
            </c:extLst>
          </c:dPt>
          <c:dLbls>
            <c:dLbl>
              <c:idx val="4"/>
              <c:layout>
                <c:manualLayout>
                  <c:x val="-3.040696566470923E-2"/>
                  <c:y val="0.15874478227255384"/>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39F-45E3-8896-6A410148F6CF}"/>
                </c:ext>
              </c:extLst>
            </c:dLbl>
            <c:dLbl>
              <c:idx val="5"/>
              <c:layout>
                <c:manualLayout>
                  <c:x val="-0.159064444876969"/>
                  <c:y val="0.29117006021992797"/>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0C67-497F-B27E-A39059413FF5}"/>
                </c:ext>
              </c:extLst>
            </c:dLbl>
            <c:dLbl>
              <c:idx val="6"/>
              <c:layout>
                <c:manualLayout>
                  <c:x val="-0.16521141747262041"/>
                  <c:y val="8.9685255929230767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D-0C67-497F-B27E-A39059413FF5}"/>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Consumo básico </c:v>
                </c:pt>
                <c:pt idx="1">
                  <c:v> Industrial </c:v>
                </c:pt>
                <c:pt idx="2">
                  <c:v> Consumo discrecional </c:v>
                </c:pt>
                <c:pt idx="3">
                  <c:v> Materiales </c:v>
                </c:pt>
                <c:pt idx="4">
                  <c:v> Financiero </c:v>
                </c:pt>
                <c:pt idx="5">
                  <c:v> Cuidado de la salud </c:v>
                </c:pt>
                <c:pt idx="6">
                  <c:v> Inmobiliario </c:v>
                </c:pt>
                <c:pt idx="7">
                  <c:v> Servicios de comunicación </c:v>
                </c:pt>
                <c:pt idx="8">
                  <c:v> Efectivo </c:v>
                </c:pt>
                <c:pt idx="9">
                  <c:v> #NA </c:v>
                </c:pt>
                <c:pt idx="10">
                  <c:v> #NA </c:v>
                </c:pt>
                <c:pt idx="11">
                  <c:v> #NA </c:v>
                </c:pt>
              </c:strCache>
            </c:strRef>
          </c:cat>
          <c:val>
            <c:numRef>
              <c:f>'Portafolio Actual'!$Y$6:$Y$17</c:f>
              <c:numCache>
                <c:formatCode>0.00%</c:formatCode>
                <c:ptCount val="12"/>
                <c:pt idx="0">
                  <c:v>0.14776031155209743</c:v>
                </c:pt>
                <c:pt idx="1">
                  <c:v>0.10334495273590849</c:v>
                </c:pt>
                <c:pt idx="2">
                  <c:v>0.30931473047824887</c:v>
                </c:pt>
                <c:pt idx="3">
                  <c:v>0.16870160384675625</c:v>
                </c:pt>
                <c:pt idx="4">
                  <c:v>0.13678213542475753</c:v>
                </c:pt>
                <c:pt idx="5">
                  <c:v>3.9417517823981049E-3</c:v>
                </c:pt>
                <c:pt idx="6">
                  <c:v>3.4321059442146307E-2</c:v>
                </c:pt>
                <c:pt idx="7">
                  <c:v>8.4348778059038759E-2</c:v>
                </c:pt>
                <c:pt idx="8">
                  <c:v>1.1484676678648113E-2</c:v>
                </c:pt>
                <c:pt idx="9">
                  <c:v>#N/A</c:v>
                </c:pt>
                <c:pt idx="10">
                  <c:v>#N/A</c:v>
                </c:pt>
                <c:pt idx="11">
                  <c:v>#N/A</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sectores (GICS)</a:t>
            </a:r>
            <a:endParaRPr lang="en-US" sz="1400">
              <a:solidFill>
                <a:schemeClr val="bg1"/>
              </a:solidFill>
            </a:endParaRPr>
          </a:p>
        </c:rich>
      </c:tx>
      <c:layout>
        <c:manualLayout>
          <c:xMode val="edge"/>
          <c:yMode val="edge"/>
          <c:x val="0.19910046950012444"/>
          <c:y val="2.2201700702718791E-2"/>
        </c:manualLayout>
      </c:layout>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C875-4088-9C3F-BBFFFBBD21FC}"/>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C875-4088-9C3F-BBFFFBBD21FC}"/>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C875-4088-9C3F-BBFFFBBD21FC}"/>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C875-4088-9C3F-BBFFFBBD21FC}"/>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DCFA-44CF-9B35-09F75D4C442C}"/>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DCFA-44CF-9B35-09F75D4C442C}"/>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DCFA-44CF-9B35-09F75D4C442C}"/>
              </c:ext>
            </c:extLst>
          </c:dPt>
          <c:dLbls>
            <c:dLbl>
              <c:idx val="4"/>
              <c:layout>
                <c:manualLayout>
                  <c:x val="-5.2197386722837587E-2"/>
                  <c:y val="8.2624415839602325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4C8B-4238-BC95-01C2233EA8C5}"/>
                </c:ext>
              </c:extLst>
            </c:dLbl>
            <c:dLbl>
              <c:idx val="5"/>
              <c:layout>
                <c:manualLayout>
                  <c:x val="-7.9312493938816467E-2"/>
                  <c:y val="0.2280630370965070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875-4088-9C3F-BBFFFBBD21FC}"/>
                </c:ext>
              </c:extLst>
            </c:dLbl>
            <c:dLbl>
              <c:idx val="6"/>
              <c:layout>
                <c:manualLayout>
                  <c:x val="-0.11133317554476052"/>
                  <c:y val="6.916048289573111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D-C875-4088-9C3F-BBFFFBBD21FC}"/>
                </c:ext>
              </c:extLst>
            </c:dLbl>
            <c:dLbl>
              <c:idx val="7"/>
              <c:layout>
                <c:manualLayout>
                  <c:x val="-0.20290468869422271"/>
                  <c:y val="-5.822439713423244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F-C875-4088-9C3F-BBFFFBBD21FC}"/>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Consumo básico </c:v>
                </c:pt>
                <c:pt idx="1">
                  <c:v> Industrial </c:v>
                </c:pt>
                <c:pt idx="2">
                  <c:v> Consumo discrecional </c:v>
                </c:pt>
                <c:pt idx="3">
                  <c:v> Materiales </c:v>
                </c:pt>
                <c:pt idx="4">
                  <c:v> Financiero </c:v>
                </c:pt>
                <c:pt idx="5">
                  <c:v> Cuidado de la salud </c:v>
                </c:pt>
                <c:pt idx="6">
                  <c:v> Inmobiliario </c:v>
                </c:pt>
                <c:pt idx="7">
                  <c:v> Servicios de comunicación </c:v>
                </c:pt>
                <c:pt idx="8">
                  <c:v> Efectivo </c:v>
                </c:pt>
                <c:pt idx="9">
                  <c:v> #NA </c:v>
                </c:pt>
                <c:pt idx="10">
                  <c:v> #NA </c:v>
                </c:pt>
                <c:pt idx="11">
                  <c:v> #NA </c:v>
                </c:pt>
              </c:strCache>
            </c:strRef>
          </c:cat>
          <c:val>
            <c:numRef>
              <c:f>'Portafolio Actual'!$Z$6:$Z$17</c:f>
              <c:numCache>
                <c:formatCode>0.00%</c:formatCode>
                <c:ptCount val="12"/>
                <c:pt idx="0">
                  <c:v>0.20163944444444445</c:v>
                </c:pt>
                <c:pt idx="1">
                  <c:v>0.12329111111111112</c:v>
                </c:pt>
                <c:pt idx="2">
                  <c:v>0.13915</c:v>
                </c:pt>
                <c:pt idx="3">
                  <c:v>0.20584722222222218</c:v>
                </c:pt>
                <c:pt idx="4">
                  <c:v>0.20611111111111111</c:v>
                </c:pt>
                <c:pt idx="5">
                  <c:v>3.4791111111111113E-2</c:v>
                </c:pt>
                <c:pt idx="6">
                  <c:v>2.0726666666666664E-2</c:v>
                </c:pt>
                <c:pt idx="7">
                  <c:v>7.0701666666666677E-2</c:v>
                </c:pt>
                <c:pt idx="8">
                  <c:v>-2.2583333333334142E-3</c:v>
                </c:pt>
                <c:pt idx="9">
                  <c:v>#N/A</c:v>
                </c:pt>
                <c:pt idx="10">
                  <c:v>#N/A</c:v>
                </c:pt>
                <c:pt idx="11">
                  <c:v>#N/A</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483350" y="122555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393700</xdr:colOff>
      <xdr:row>5</xdr:row>
      <xdr:rowOff>139700</xdr:rowOff>
    </xdr:from>
    <xdr:ext cx="914400" cy="139700"/>
    <xdr:sp macro="" textlink="">
      <xdr:nvSpPr>
        <xdr:cNvPr id="3" name="CuadroTexto 2">
          <a:extLst>
            <a:ext uri="{FF2B5EF4-FFF2-40B4-BE49-F238E27FC236}">
              <a16:creationId xmlns:a16="http://schemas.microsoft.com/office/drawing/2014/main" id="{F28E530F-6115-4DA0-A559-3F9DE530A93A}"/>
            </a:ext>
          </a:extLst>
        </xdr:cNvPr>
        <xdr:cNvSpPr txBox="1"/>
      </xdr:nvSpPr>
      <xdr:spPr>
        <a:xfrm>
          <a:off x="3549650" y="12509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11</xdr:col>
      <xdr:colOff>5</xdr:colOff>
      <xdr:row>3</xdr:row>
      <xdr:rowOff>183444</xdr:rowOff>
    </xdr:from>
    <xdr:to>
      <xdr:col>14</xdr:col>
      <xdr:colOff>744741</xdr:colOff>
      <xdr:row>13</xdr:row>
      <xdr:rowOff>107946</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52</xdr:row>
      <xdr:rowOff>0</xdr:rowOff>
    </xdr:from>
    <xdr:to>
      <xdr:col>16</xdr:col>
      <xdr:colOff>754804</xdr:colOff>
      <xdr:row>62</xdr:row>
      <xdr:rowOff>51502</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99</xdr:row>
      <xdr:rowOff>7055</xdr:rowOff>
    </xdr:from>
    <xdr:to>
      <xdr:col>14</xdr:col>
      <xdr:colOff>754796</xdr:colOff>
      <xdr:row>109</xdr:row>
      <xdr:rowOff>58557</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dfeef1721395a145/Desktop/Scientia/IPC%20Mediana.xlsx" TargetMode="External"/><Relationship Id="rId1" Type="http://schemas.openxmlformats.org/officeDocument/2006/relationships/externalLinkPath" Target="IPC%20Median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heet1"/>
      <sheetName val="Hoja1"/>
    </sheetNames>
    <sheetDataSet>
      <sheetData sheetId="0">
        <row r="40">
          <cell r="AP40" t="str">
            <v>GAPB.MX</v>
          </cell>
          <cell r="AQ40">
            <v>225.47625732421881</v>
          </cell>
          <cell r="AR40">
            <v>272.82510375976563</v>
          </cell>
          <cell r="AS40">
            <v>274.24740600585938</v>
          </cell>
          <cell r="AT40">
            <v>291.595947265625</v>
          </cell>
          <cell r="AU40">
            <v>199.57276916503909</v>
          </cell>
          <cell r="AV40">
            <v>305.56396484375</v>
          </cell>
          <cell r="AW40">
            <v>348.54998799999998</v>
          </cell>
          <cell r="AX40">
            <v>397.3800048828125</v>
          </cell>
          <cell r="AY40">
            <v>387.27</v>
          </cell>
        </row>
        <row r="41">
          <cell r="AP41" t="str">
            <v>SIGMAFA.MX</v>
          </cell>
          <cell r="AQ41">
            <v>13.550008773803709</v>
          </cell>
          <cell r="AR41">
            <v>12.455574035644529</v>
          </cell>
          <cell r="AS41">
            <v>11.99088287353516</v>
          </cell>
          <cell r="AT41">
            <v>10.479475021362299</v>
          </cell>
          <cell r="AU41">
            <v>11.191128730773929</v>
          </cell>
          <cell r="AV41">
            <v>12.539999961853029</v>
          </cell>
          <cell r="AW41">
            <v>14.44</v>
          </cell>
          <cell r="AX41">
            <v>14.229999542236328</v>
          </cell>
          <cell r="AY41">
            <v>14.01</v>
          </cell>
        </row>
        <row r="42">
          <cell r="AP42" t="str">
            <v>WALMEX.MX</v>
          </cell>
          <cell r="AQ42">
            <v>65.429817199707031</v>
          </cell>
          <cell r="AR42">
            <v>66.546195983886719</v>
          </cell>
          <cell r="AS42">
            <v>70.585441589355469</v>
          </cell>
          <cell r="AT42">
            <v>68.546043395996094</v>
          </cell>
          <cell r="AU42">
            <v>61.102169036865227</v>
          </cell>
          <cell r="AV42">
            <v>61.380222320556641</v>
          </cell>
          <cell r="AW42">
            <v>55.25</v>
          </cell>
          <cell r="AX42">
            <v>62.130001068115234</v>
          </cell>
          <cell r="AY42">
            <v>61.42</v>
          </cell>
        </row>
        <row r="43">
          <cell r="AP43" t="str">
            <v>ORBIA.MX</v>
          </cell>
          <cell r="AQ43">
            <v>51.934780120849609</v>
          </cell>
          <cell r="AR43">
            <v>48.267501831054688</v>
          </cell>
          <cell r="AS43">
            <v>32.997390747070313</v>
          </cell>
          <cell r="AT43">
            <v>41.194038391113281</v>
          </cell>
          <cell r="AU43">
            <v>29.163290023803711</v>
          </cell>
          <cell r="AV43">
            <v>27.98842620849609</v>
          </cell>
          <cell r="AW43">
            <v>18.329999999999998</v>
          </cell>
          <cell r="AX43">
            <v>13.239999771118164</v>
          </cell>
          <cell r="AY43">
            <v>16.89</v>
          </cell>
        </row>
        <row r="44">
          <cell r="AP44" t="str">
            <v>OMAB.MX</v>
          </cell>
          <cell r="AQ44">
            <v>90.659736633300781</v>
          </cell>
          <cell r="AR44">
            <v>117.6399688720703</v>
          </cell>
          <cell r="AS44">
            <v>136.7334289550781</v>
          </cell>
          <cell r="AT44">
            <v>174.38958740234381</v>
          </cell>
          <cell r="AU44">
            <v>130.20179748535159</v>
          </cell>
          <cell r="AV44">
            <v>178.2938232421875</v>
          </cell>
          <cell r="AW44">
            <v>166.88000500000001</v>
          </cell>
          <cell r="AX44">
            <v>215.78999328613281</v>
          </cell>
          <cell r="AY44">
            <v>228.94</v>
          </cell>
        </row>
        <row r="45">
          <cell r="AP45" t="str">
            <v>TLEVISACPO.MX</v>
          </cell>
          <cell r="AQ45">
            <v>39.264389038085938</v>
          </cell>
          <cell r="AR45">
            <v>35.582183837890618</v>
          </cell>
          <cell r="AS45">
            <v>19.904903411865231</v>
          </cell>
          <cell r="AT45">
            <v>17.345699310302731</v>
          </cell>
          <cell r="AU45">
            <v>7.9456486701965332</v>
          </cell>
          <cell r="AV45">
            <v>9.745758056640625</v>
          </cell>
          <cell r="AW45">
            <v>9.9</v>
          </cell>
          <cell r="AX45">
            <v>7.1399998664855957</v>
          </cell>
          <cell r="AY45">
            <v>9.68</v>
          </cell>
        </row>
        <row r="46">
          <cell r="AP46" t="str">
            <v>CEMEXCPO.MX</v>
          </cell>
          <cell r="AQ46">
            <v>13.237687110900881</v>
          </cell>
          <cell r="AR46">
            <v>8.9784307479858398</v>
          </cell>
          <cell r="AS46">
            <v>7.718651294708252</v>
          </cell>
          <cell r="AT46">
            <v>10.80811214447021</v>
          </cell>
          <cell r="AU46">
            <v>10.78811454772949</v>
          </cell>
          <cell r="AV46">
            <v>13.547633171081539</v>
          </cell>
          <cell r="AW46">
            <v>10.49</v>
          </cell>
          <cell r="AX46">
            <v>12.130000114440918</v>
          </cell>
          <cell r="AY46">
            <v>18.88</v>
          </cell>
        </row>
        <row r="47">
          <cell r="AP47" t="str">
            <v>PINFRA.MX</v>
          </cell>
          <cell r="AQ47">
            <v>131.31242370605469</v>
          </cell>
          <cell r="AR47">
            <v>131.17509460449219</v>
          </cell>
          <cell r="AS47">
            <v>133.81398010253909</v>
          </cell>
          <cell r="AT47">
            <v>178.84063720703119</v>
          </cell>
          <cell r="AU47">
            <v>144.05397033691409</v>
          </cell>
          <cell r="AV47">
            <v>168.94190979003909</v>
          </cell>
          <cell r="AW47">
            <v>174.33999600000001</v>
          </cell>
          <cell r="AX47">
            <v>219.42999267578125</v>
          </cell>
          <cell r="AY47">
            <v>240.61</v>
          </cell>
        </row>
        <row r="48">
          <cell r="AP48" t="str">
            <v>GMEXICOB.MX</v>
          </cell>
          <cell r="AQ48">
            <v>77.646766662597656</v>
          </cell>
          <cell r="AR48">
            <v>85.227149963378906</v>
          </cell>
          <cell r="AS48">
            <v>65.467933654785156</v>
          </cell>
          <cell r="AT48">
            <v>82.443695068359375</v>
          </cell>
          <cell r="AU48">
            <v>71.727790832519531</v>
          </cell>
          <cell r="AV48">
            <v>103.73329925537109</v>
          </cell>
          <cell r="AW48">
            <v>104.989998</v>
          </cell>
          <cell r="AX48">
            <v>101.76000213623047</v>
          </cell>
          <cell r="AY48">
            <v>160.62</v>
          </cell>
        </row>
        <row r="49">
          <cell r="AP49" t="str">
            <v>AC.MX</v>
          </cell>
          <cell r="AQ49">
            <v>111.1702194213867</v>
          </cell>
          <cell r="AR49">
            <v>118.6351852416992</v>
          </cell>
          <cell r="AS49">
            <v>148.29170227050781</v>
          </cell>
          <cell r="AT49">
            <v>163.5635986328125</v>
          </cell>
          <cell r="AU49">
            <v>154.0688171386719</v>
          </cell>
          <cell r="AV49">
            <v>164.293212890625</v>
          </cell>
          <cell r="AW49">
            <v>170.69000199999999</v>
          </cell>
          <cell r="AX49">
            <v>206.52999877929688</v>
          </cell>
          <cell r="AY49">
            <v>179.94</v>
          </cell>
        </row>
        <row r="50">
          <cell r="AP50" t="str">
            <v>FEMSAUBD.MX</v>
          </cell>
          <cell r="AQ50">
            <v>154.1023864746094</v>
          </cell>
          <cell r="AR50">
            <v>139.6991271972656</v>
          </cell>
          <cell r="AS50">
            <v>131.08674621582031</v>
          </cell>
          <cell r="AT50">
            <v>161.28077697753909</v>
          </cell>
          <cell r="AU50">
            <v>192.03315734863281</v>
          </cell>
          <cell r="AV50">
            <v>201.47999572753909</v>
          </cell>
          <cell r="AW50">
            <v>193.85000600000001</v>
          </cell>
          <cell r="AX50">
            <v>206.19000244140625</v>
          </cell>
          <cell r="AY50">
            <v>175.26</v>
          </cell>
        </row>
        <row r="51">
          <cell r="AP51" t="str">
            <v>AMXB.MX</v>
          </cell>
          <cell r="AQ51">
            <v>15.70491981506348</v>
          </cell>
          <cell r="AR51">
            <v>18.27228927612305</v>
          </cell>
          <cell r="AS51">
            <v>17.357034683227539</v>
          </cell>
          <cell r="AT51">
            <v>18.485099792480469</v>
          </cell>
          <cell r="AU51">
            <v>14.47546482086182</v>
          </cell>
          <cell r="AV51">
            <v>15.8443717956543</v>
          </cell>
          <cell r="AW51">
            <v>15.83</v>
          </cell>
          <cell r="AX51">
            <v>16.969999313354492</v>
          </cell>
          <cell r="AY51">
            <v>21.19</v>
          </cell>
        </row>
        <row r="52">
          <cell r="AP52" t="str">
            <v>KOFUBL.MX</v>
          </cell>
          <cell r="AQ52">
            <v>94.223236083984375</v>
          </cell>
          <cell r="AR52">
            <v>99.272544860839844</v>
          </cell>
          <cell r="AS52">
            <v>117.0393905639648</v>
          </cell>
          <cell r="AT52">
            <v>142.99540710449219</v>
          </cell>
          <cell r="AU52">
            <v>134.39369201660159</v>
          </cell>
          <cell r="AV52">
            <v>169.5899963378906</v>
          </cell>
          <cell r="AW52">
            <v>165.58000200000001</v>
          </cell>
          <cell r="AX52">
            <v>184.88999938964844</v>
          </cell>
          <cell r="AY52">
            <v>159.84</v>
          </cell>
        </row>
        <row r="53">
          <cell r="AP53" t="str">
            <v>ALSEA.MX</v>
          </cell>
          <cell r="AQ53">
            <v>42.510700225830078</v>
          </cell>
          <cell r="AR53">
            <v>43.995918273925781</v>
          </cell>
          <cell r="AS53">
            <v>37.435386657714837</v>
          </cell>
          <cell r="AT53">
            <v>47.635196685791023</v>
          </cell>
          <cell r="AU53">
            <v>58.857944488525391</v>
          </cell>
          <cell r="AV53">
            <v>70.523300170898438</v>
          </cell>
          <cell r="AW53">
            <v>48.310001</v>
          </cell>
          <cell r="AX53">
            <v>43.970001220703125</v>
          </cell>
          <cell r="AY53">
            <v>51.31</v>
          </cell>
        </row>
        <row r="54">
          <cell r="AP54" t="str">
            <v>GRUMAB.MX</v>
          </cell>
          <cell r="AQ54">
            <v>225.96673583984381</v>
          </cell>
          <cell r="AR54">
            <v>228.83628845214841</v>
          </cell>
          <cell r="AS54">
            <v>221.06242370605469</v>
          </cell>
          <cell r="AT54">
            <v>272.97076416015619</v>
          </cell>
          <cell r="AU54">
            <v>309.51547241210938</v>
          </cell>
          <cell r="AV54">
            <v>331.1900634765625</v>
          </cell>
          <cell r="AW54">
            <v>344</v>
          </cell>
          <cell r="AX54">
            <v>373.64999389648438</v>
          </cell>
          <cell r="AY54">
            <v>315.29000000000002</v>
          </cell>
        </row>
        <row r="55">
          <cell r="AP55" t="str">
            <v>ASURB.MX</v>
          </cell>
          <cell r="AQ55">
            <v>365.83612060546881</v>
          </cell>
          <cell r="AR55">
            <v>392.42861938476563</v>
          </cell>
          <cell r="AS55">
            <v>428.50067138671881</v>
          </cell>
          <cell r="AT55">
            <v>474.67117309570313</v>
          </cell>
          <cell r="AU55">
            <v>366.5634765625</v>
          </cell>
          <cell r="AV55">
            <v>568.52996826171875</v>
          </cell>
          <cell r="AW55">
            <v>533.67999299999997</v>
          </cell>
          <cell r="AX55">
            <v>619.27001953125</v>
          </cell>
          <cell r="AY55">
            <v>561.99</v>
          </cell>
        </row>
        <row r="56">
          <cell r="AP56" t="str">
            <v>BIMBOA.MX</v>
          </cell>
          <cell r="AQ56">
            <v>58.559181213378913</v>
          </cell>
          <cell r="AR56">
            <v>60.442615509033203</v>
          </cell>
          <cell r="AS56">
            <v>74.639488220214844</v>
          </cell>
          <cell r="AT56">
            <v>94.479049682617188</v>
          </cell>
          <cell r="AU56">
            <v>72.232490539550781</v>
          </cell>
          <cell r="AV56">
            <v>70.69268798828125</v>
          </cell>
          <cell r="AW56">
            <v>61.970001000000003</v>
          </cell>
          <cell r="AX56">
            <v>59.669998168945313</v>
          </cell>
          <cell r="AY56">
            <v>64.2</v>
          </cell>
        </row>
        <row r="57">
          <cell r="AP57" t="str">
            <v>PE&amp;OLES.MX</v>
          </cell>
          <cell r="AQ57">
            <v>263.86679077148438</v>
          </cell>
          <cell r="AR57">
            <v>224.71000671386719</v>
          </cell>
          <cell r="AS57">
            <v>222.00999450683591</v>
          </cell>
          <cell r="AT57">
            <v>278</v>
          </cell>
          <cell r="AU57">
            <v>199.47999572753909</v>
          </cell>
          <cell r="AV57">
            <v>245.07000732421881</v>
          </cell>
          <cell r="AW57">
            <v>315.19000199999999</v>
          </cell>
          <cell r="AX57">
            <v>392.989990234375</v>
          </cell>
          <cell r="AY57">
            <v>769.09</v>
          </cell>
        </row>
        <row r="58">
          <cell r="AP58" t="str">
            <v>BBAJIOO.MX</v>
          </cell>
          <cell r="AQ58">
            <v>27.233524322509769</v>
          </cell>
          <cell r="AR58">
            <v>35.505752563476563</v>
          </cell>
          <cell r="AS58">
            <v>46.135364532470703</v>
          </cell>
          <cell r="AT58">
            <v>48.897865295410163</v>
          </cell>
          <cell r="AU58">
            <v>48.614841461181641</v>
          </cell>
          <cell r="AV58">
            <v>57.499198913574219</v>
          </cell>
          <cell r="AW58">
            <v>44.369999</v>
          </cell>
          <cell r="AX58">
            <v>47.060001373291016</v>
          </cell>
          <cell r="AY58">
            <v>47.57</v>
          </cell>
        </row>
        <row r="59">
          <cell r="AP59" t="str">
            <v>CUERVO.MX</v>
          </cell>
          <cell r="AQ59">
            <v>45.489948272705078</v>
          </cell>
          <cell r="AR59">
            <v>49.172832489013672</v>
          </cell>
          <cell r="AS59">
            <v>40.932987213134773</v>
          </cell>
          <cell r="AT59">
            <v>40.601314544677727</v>
          </cell>
          <cell r="AU59">
            <v>31.47238922119141</v>
          </cell>
          <cell r="AV59">
            <v>34.3433837890625</v>
          </cell>
          <cell r="AW59">
            <v>26.379999000000002</v>
          </cell>
          <cell r="AX59">
            <v>22.670000076293945</v>
          </cell>
          <cell r="AY59">
            <v>22.77</v>
          </cell>
        </row>
        <row r="60">
          <cell r="AP60" t="str">
            <v>BOLSAA.MX</v>
          </cell>
          <cell r="AQ60">
            <v>32.931270599365227</v>
          </cell>
          <cell r="AR60">
            <v>33.757892608642578</v>
          </cell>
          <cell r="AS60">
            <v>31.758344650268551</v>
          </cell>
          <cell r="AT60">
            <v>35.029666900634773</v>
          </cell>
          <cell r="AU60">
            <v>26.289377212524411</v>
          </cell>
          <cell r="AV60">
            <v>30.0637321472168</v>
          </cell>
          <cell r="AW60">
            <v>32.700001</v>
          </cell>
          <cell r="AX60">
            <v>41.319999694824219</v>
          </cell>
          <cell r="AY60">
            <v>35.46</v>
          </cell>
        </row>
        <row r="61">
          <cell r="AP61" t="str">
            <v>VESTA.MX</v>
          </cell>
          <cell r="AQ61">
            <v>35.445545196533203</v>
          </cell>
          <cell r="AR61">
            <v>37.497112274169922</v>
          </cell>
          <cell r="AS61">
            <v>42.835155487060547</v>
          </cell>
          <cell r="AT61">
            <v>56.442794799804688</v>
          </cell>
          <cell r="AU61">
            <v>56.471755981445313</v>
          </cell>
          <cell r="AV61">
            <v>60.669998168945313</v>
          </cell>
          <cell r="AW61">
            <v>52.099997999999999</v>
          </cell>
          <cell r="AX61">
            <v>53.619998931884766</v>
          </cell>
          <cell r="AY61">
            <v>56.4</v>
          </cell>
        </row>
        <row r="62">
          <cell r="AP62" t="str">
            <v>LIVEPOLC-1.MX</v>
          </cell>
          <cell r="AQ62">
            <v>84.779006958007813</v>
          </cell>
          <cell r="AR62">
            <v>96.522613525390625</v>
          </cell>
          <cell r="AS62">
            <v>96.693595886230469</v>
          </cell>
          <cell r="AT62">
            <v>105.52906799316411</v>
          </cell>
          <cell r="AU62">
            <v>89.900924682617188</v>
          </cell>
          <cell r="AV62">
            <v>134.15110778808591</v>
          </cell>
          <cell r="AW62">
            <v>105.209999</v>
          </cell>
          <cell r="AX62">
            <v>90.30999755859375</v>
          </cell>
          <cell r="AY62">
            <v>90.57</v>
          </cell>
        </row>
        <row r="63">
          <cell r="AP63" t="str">
            <v>LABB.MX</v>
          </cell>
          <cell r="AQ63">
            <v>16.053510665893551</v>
          </cell>
          <cell r="AR63">
            <v>18.650051116943359</v>
          </cell>
          <cell r="AS63">
            <v>13.76326370239258</v>
          </cell>
          <cell r="AT63">
            <v>13.841593742370611</v>
          </cell>
          <cell r="AU63">
            <v>12.78319835662842</v>
          </cell>
          <cell r="AV63">
            <v>16.27542686462402</v>
          </cell>
          <cell r="AW63">
            <v>26.799999</v>
          </cell>
          <cell r="AX63">
            <v>22.920000076293945</v>
          </cell>
          <cell r="AY63">
            <v>18.18</v>
          </cell>
        </row>
        <row r="64">
          <cell r="AP64" t="str">
            <v>GENTERA.MX</v>
          </cell>
          <cell r="AQ64">
            <v>10.9819278717041</v>
          </cell>
          <cell r="AR64">
            <v>14.128537178039551</v>
          </cell>
          <cell r="AS64">
            <v>18.478561401367191</v>
          </cell>
          <cell r="AT64">
            <v>19.31136512756348</v>
          </cell>
          <cell r="AU64">
            <v>18.666349411010739</v>
          </cell>
          <cell r="AV64">
            <v>26.856086730957031</v>
          </cell>
          <cell r="AW64">
            <v>25.6</v>
          </cell>
          <cell r="AX64">
            <v>34.189998626708984</v>
          </cell>
          <cell r="AY64">
            <v>44.2</v>
          </cell>
        </row>
        <row r="65">
          <cell r="AP65" t="str">
            <v>GCARSOA1.MX</v>
          </cell>
          <cell r="AQ65">
            <v>66.654991149902344</v>
          </cell>
          <cell r="AR65">
            <v>64.16204833984375</v>
          </cell>
          <cell r="AS65">
            <v>77.874855041503906</v>
          </cell>
          <cell r="AT65">
            <v>100.0616455078125</v>
          </cell>
          <cell r="AU65">
            <v>113.8574523925781</v>
          </cell>
          <cell r="AV65">
            <v>132.4650573730469</v>
          </cell>
          <cell r="AW65">
            <v>120.589996</v>
          </cell>
          <cell r="AX65">
            <v>136.3800048828125</v>
          </cell>
          <cell r="AY65">
            <v>132.78</v>
          </cell>
        </row>
        <row r="66">
          <cell r="AP66" t="str">
            <v>GCC.MX</v>
          </cell>
          <cell r="AQ66">
            <v>149.26312255859381</v>
          </cell>
          <cell r="AR66">
            <v>131.54454040527341</v>
          </cell>
          <cell r="AS66">
            <v>121.49090576171881</v>
          </cell>
          <cell r="AT66">
            <v>140.5484924316406</v>
          </cell>
          <cell r="AU66">
            <v>159.60333251953119</v>
          </cell>
          <cell r="AV66">
            <v>191.4327087402344</v>
          </cell>
          <cell r="AW66">
            <v>164.11000100000001</v>
          </cell>
          <cell r="AX66">
            <v>164.77999877929688</v>
          </cell>
          <cell r="AY66">
            <v>178.4</v>
          </cell>
        </row>
        <row r="67">
          <cell r="AP67" t="str">
            <v>CHDRAUIB.MX</v>
          </cell>
          <cell r="AQ67">
            <v>39.476806640625</v>
          </cell>
          <cell r="AR67">
            <v>50.520584106445313</v>
          </cell>
          <cell r="AS67">
            <v>78.65850830078125</v>
          </cell>
          <cell r="AT67">
            <v>105.3134307861328</v>
          </cell>
          <cell r="AU67">
            <v>104.04530334472661</v>
          </cell>
          <cell r="AV67">
            <v>126.13999938964839</v>
          </cell>
          <cell r="AW67">
            <v>126.720001</v>
          </cell>
          <cell r="AX67">
            <v>126.68000030517578</v>
          </cell>
          <cell r="AY67">
            <v>134.71</v>
          </cell>
        </row>
        <row r="68">
          <cell r="AP68" t="str">
            <v>ELEKTRA.MX</v>
          </cell>
          <cell r="AQ68">
            <v>1559.416870117188</v>
          </cell>
          <cell r="AR68">
            <v>1206.975830078125</v>
          </cell>
          <cell r="AS68">
            <v>985.88677978515625</v>
          </cell>
          <cell r="AT68">
            <v>1147.742919921875</v>
          </cell>
          <cell r="AU68">
            <v>1145.811767578125</v>
          </cell>
          <cell r="AV68">
            <v>1105</v>
          </cell>
          <cell r="AW68">
            <v>944.95001200000002</v>
          </cell>
          <cell r="AX68">
            <v>350</v>
          </cell>
          <cell r="AY68">
            <v>373.10000610351563</v>
          </cell>
        </row>
        <row r="69">
          <cell r="AP69" t="str">
            <v>GFNORTEO.MX</v>
          </cell>
          <cell r="AQ69">
            <v>100.54498291015619</v>
          </cell>
          <cell r="AR69">
            <v>106.0012512207031</v>
          </cell>
          <cell r="AS69">
            <v>132.9345397949219</v>
          </cell>
          <cell r="AT69">
            <v>133.60261535644531</v>
          </cell>
          <cell r="AU69">
            <v>137.1524353027344</v>
          </cell>
          <cell r="AV69">
            <v>159.56822204589841</v>
          </cell>
          <cell r="AW69">
            <v>139.64999399999999</v>
          </cell>
          <cell r="AX69">
            <v>168.14999389648438</v>
          </cell>
          <cell r="AY69">
            <v>174.85</v>
          </cell>
        </row>
        <row r="70">
          <cell r="AP70" t="str">
            <v>GFINBURO.MX</v>
          </cell>
          <cell r="AQ70">
            <v>20.670000076293949</v>
          </cell>
          <cell r="AR70">
            <v>34.590000152587891</v>
          </cell>
          <cell r="AS70">
            <v>36.430000305175781</v>
          </cell>
          <cell r="AT70">
            <v>43.939998626708977</v>
          </cell>
          <cell r="AU70">
            <v>37.209999084472663</v>
          </cell>
          <cell r="AV70">
            <v>47.209999084472663</v>
          </cell>
          <cell r="AW70">
            <v>44.48</v>
          </cell>
          <cell r="AX70">
            <v>50.409999847412109</v>
          </cell>
          <cell r="AY70">
            <v>45.12</v>
          </cell>
        </row>
        <row r="71">
          <cell r="AP71" t="str">
            <v>KIMBERA.MX</v>
          </cell>
          <cell r="AQ71">
            <v>28.005765914916989</v>
          </cell>
          <cell r="AR71">
            <v>24.85752105712891</v>
          </cell>
          <cell r="AS71">
            <v>28.09553146362305</v>
          </cell>
          <cell r="AT71">
            <v>38.691291809082031</v>
          </cell>
          <cell r="AU71">
            <v>31.455717086791989</v>
          </cell>
          <cell r="AV71">
            <v>35.759998321533203</v>
          </cell>
          <cell r="AW71">
            <v>28.83</v>
          </cell>
          <cell r="AX71">
            <v>34.5</v>
          </cell>
          <cell r="AY71">
            <v>35.96</v>
          </cell>
        </row>
        <row r="72">
          <cell r="AP72" t="str">
            <v>MEGACPO.MX</v>
          </cell>
          <cell r="AQ72">
            <v>51.010139465332031</v>
          </cell>
          <cell r="AR72">
            <v>48.882614135742188</v>
          </cell>
          <cell r="AS72">
            <v>36.470962524414063</v>
          </cell>
          <cell r="AT72">
            <v>43.231388092041023</v>
          </cell>
          <cell r="AU72">
            <v>33.417137145996087</v>
          </cell>
          <cell r="AV72">
            <v>47.266109466552727</v>
          </cell>
          <cell r="AW72">
            <v>44.169998</v>
          </cell>
          <cell r="AX72">
            <v>47.700000762939453</v>
          </cell>
          <cell r="AY72">
            <v>53.16</v>
          </cell>
        </row>
        <row r="73">
          <cell r="AP73" t="str">
            <v>Q.MX</v>
          </cell>
          <cell r="AQ73">
            <v>82.408607482910156</v>
          </cell>
          <cell r="AR73">
            <v>95.05029296875</v>
          </cell>
          <cell r="AS73">
            <v>71.484375</v>
          </cell>
          <cell r="AT73">
            <v>109.76873779296881</v>
          </cell>
          <cell r="AU73">
            <v>143.29339599609381</v>
          </cell>
          <cell r="AV73">
            <v>215.37757873535159</v>
          </cell>
          <cell r="AW73">
            <v>139.050003</v>
          </cell>
          <cell r="AX73">
            <v>216.94999694824219</v>
          </cell>
          <cell r="AY73">
            <v>168.47</v>
          </cell>
        </row>
        <row r="74">
          <cell r="AP74" t="str">
            <v>RA.MX</v>
          </cell>
          <cell r="AQ74">
            <v>90.75518798828125</v>
          </cell>
          <cell r="AR74">
            <v>113.792366027832</v>
          </cell>
          <cell r="AS74">
            <v>127.6271133422852</v>
          </cell>
          <cell r="AT74">
            <v>121.64776611328119</v>
          </cell>
          <cell r="AU74">
            <v>129.97271728515619</v>
          </cell>
          <cell r="AV74">
            <v>150.3775939941406</v>
          </cell>
          <cell r="AW74">
            <v>127.290001</v>
          </cell>
          <cell r="AX74">
            <v>137.89999389648438</v>
          </cell>
          <cell r="AY74">
            <v>138.31</v>
          </cell>
        </row>
        <row r="75">
          <cell r="AP75" t="str">
            <v>LACOMERUBC.MX</v>
          </cell>
          <cell r="AQ75">
            <v>36.473190307617188</v>
          </cell>
          <cell r="AR75">
            <v>37.150806427001953</v>
          </cell>
          <cell r="AS75">
            <v>35.92376708984375</v>
          </cell>
          <cell r="AT75">
            <v>39.010753631591797</v>
          </cell>
          <cell r="AU75">
            <v>35.695335388183587</v>
          </cell>
          <cell r="AV75">
            <v>36.650001525878913</v>
          </cell>
          <cell r="AW75">
            <v>36.380001</v>
          </cell>
          <cell r="AX75">
            <v>36.709999084472656</v>
          </cell>
          <cell r="AY75">
            <v>40.229999999999997</v>
          </cell>
        </row>
        <row r="76">
          <cell r="AP76" t="str">
            <v>LASITEB-1.MX</v>
          </cell>
        </row>
        <row r="77">
          <cell r="AP77" t="str">
            <v>SITES1A-1.MX</v>
          </cell>
          <cell r="AR77">
            <v>22.969951629638668</v>
          </cell>
          <cell r="AS77">
            <v>20.501895904541019</v>
          </cell>
        </row>
        <row r="78">
          <cell r="AP78" t="str">
            <v>VOLARA.MX</v>
          </cell>
        </row>
      </sheetData>
      <sheetData sheetId="1">
        <row r="51">
          <cell r="A51" t="str">
            <v>GAPB.MX</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563A8B59-650F-4133-A15E-052538D12459}">
  <we:reference id="wa200006518" version="1.1.1.0" store="en-US" storeType="OMEX"/>
  <we:alternateReferences>
    <we:reference id="wa200006518" version="1.1.1.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a:ext xmlns:a="http://schemas.openxmlformats.org/drawingml/2006/main" uri="{0858819E-0033-43BF-8937-05EC82904868}">
      <we:backgroundApp state="0" runtimeId="PyScript.Url"/>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B9" sqref="B9:O10"/>
    </sheetView>
  </sheetViews>
  <sheetFormatPr baseColWidth="10" defaultRowHeight="14.5" x14ac:dyDescent="0.35"/>
  <cols>
    <col min="1" max="1" width="3.453125" style="81" customWidth="1"/>
    <col min="2" max="2" width="10.90625" style="81"/>
    <col min="3" max="3" width="10.90625" style="81" customWidth="1"/>
    <col min="4" max="15" width="10.90625" style="81"/>
    <col min="16" max="16" width="10.90625" style="81" customWidth="1"/>
    <col min="17" max="16384" width="10.90625" style="81"/>
  </cols>
  <sheetData>
    <row r="1" spans="2:15" ht="7.5" customHeight="1" x14ac:dyDescent="0.35"/>
    <row r="2" spans="2:15" x14ac:dyDescent="0.35">
      <c r="B2" s="84" t="s">
        <v>33</v>
      </c>
    </row>
    <row r="3" spans="2:15" ht="18.5" customHeight="1" x14ac:dyDescent="0.35">
      <c r="B3" s="85" t="s">
        <v>47</v>
      </c>
      <c r="C3" s="86"/>
      <c r="D3" s="86"/>
      <c r="E3" s="86"/>
      <c r="F3" s="86"/>
      <c r="G3" s="86"/>
      <c r="H3" s="86"/>
      <c r="I3" s="86"/>
      <c r="J3" s="86"/>
      <c r="K3" s="86"/>
      <c r="L3" s="86"/>
      <c r="M3" s="86"/>
      <c r="N3" s="86"/>
      <c r="O3" s="86"/>
    </row>
    <row r="4" spans="2:15" ht="18.5" customHeight="1" x14ac:dyDescent="0.35">
      <c r="B4" s="139" t="s">
        <v>48</v>
      </c>
      <c r="C4" s="139"/>
      <c r="D4" s="139"/>
      <c r="E4" s="139"/>
      <c r="F4" s="139"/>
      <c r="G4" s="139"/>
      <c r="H4" s="139"/>
      <c r="I4" s="139"/>
      <c r="J4" s="139"/>
      <c r="K4" s="139"/>
      <c r="L4" s="139"/>
      <c r="M4" s="139"/>
      <c r="N4" s="139"/>
      <c r="O4" s="139"/>
    </row>
    <row r="5" spans="2:15" ht="15" customHeight="1" x14ac:dyDescent="0.35">
      <c r="B5" s="139"/>
      <c r="C5" s="139"/>
      <c r="D5" s="139"/>
      <c r="E5" s="139"/>
      <c r="F5" s="139"/>
      <c r="G5" s="139"/>
      <c r="H5" s="139"/>
      <c r="I5" s="139"/>
      <c r="J5" s="139"/>
      <c r="K5" s="139"/>
      <c r="L5" s="139"/>
      <c r="M5" s="139"/>
      <c r="N5" s="139"/>
      <c r="O5" s="139"/>
    </row>
    <row r="6" spans="2:15" ht="23" customHeight="1" x14ac:dyDescent="0.35">
      <c r="B6" s="85" t="s">
        <v>34</v>
      </c>
      <c r="C6" s="86"/>
      <c r="D6" s="86"/>
      <c r="E6" s="86"/>
      <c r="F6" s="86"/>
      <c r="G6" s="86"/>
      <c r="H6" s="86"/>
      <c r="I6" s="86"/>
      <c r="J6" s="86"/>
      <c r="K6" s="86"/>
      <c r="L6" s="86"/>
      <c r="M6" s="86"/>
      <c r="N6" s="86"/>
      <c r="O6" s="86"/>
    </row>
    <row r="7" spans="2:15" x14ac:dyDescent="0.35">
      <c r="B7" s="139" t="s">
        <v>37</v>
      </c>
      <c r="C7" s="139"/>
      <c r="D7" s="139"/>
      <c r="E7" s="139"/>
      <c r="F7" s="139"/>
      <c r="G7" s="139"/>
      <c r="H7" s="139"/>
      <c r="I7" s="139"/>
      <c r="J7" s="139"/>
      <c r="K7" s="139"/>
      <c r="L7" s="139"/>
      <c r="M7" s="139"/>
      <c r="N7" s="139"/>
      <c r="O7" s="139"/>
    </row>
    <row r="8" spans="2:15" ht="18" customHeight="1" x14ac:dyDescent="0.35">
      <c r="B8" s="139"/>
      <c r="C8" s="139"/>
      <c r="D8" s="139"/>
      <c r="E8" s="139"/>
      <c r="F8" s="139"/>
      <c r="G8" s="139"/>
      <c r="H8" s="139"/>
      <c r="I8" s="139"/>
      <c r="J8" s="139"/>
      <c r="K8" s="139"/>
      <c r="L8" s="139"/>
      <c r="M8" s="139"/>
      <c r="N8" s="139"/>
      <c r="O8" s="139"/>
    </row>
    <row r="9" spans="2:15" x14ac:dyDescent="0.35">
      <c r="B9" s="139" t="s">
        <v>156</v>
      </c>
      <c r="C9" s="139"/>
      <c r="D9" s="139"/>
      <c r="E9" s="139"/>
      <c r="F9" s="139"/>
      <c r="G9" s="139"/>
      <c r="H9" s="139"/>
      <c r="I9" s="139"/>
      <c r="J9" s="139"/>
      <c r="K9" s="139"/>
      <c r="L9" s="139"/>
      <c r="M9" s="139"/>
      <c r="N9" s="139"/>
      <c r="O9" s="139"/>
    </row>
    <row r="10" spans="2:15" ht="26.5" customHeight="1" x14ac:dyDescent="0.35">
      <c r="B10" s="139"/>
      <c r="C10" s="139"/>
      <c r="D10" s="139"/>
      <c r="E10" s="139"/>
      <c r="F10" s="139"/>
      <c r="G10" s="139"/>
      <c r="H10" s="139"/>
      <c r="I10" s="139"/>
      <c r="J10" s="139"/>
      <c r="K10" s="139"/>
      <c r="L10" s="139"/>
      <c r="M10" s="139"/>
      <c r="N10" s="139"/>
      <c r="O10" s="139"/>
    </row>
    <row r="11" spans="2:15" x14ac:dyDescent="0.35">
      <c r="B11" s="82"/>
      <c r="C11" s="82"/>
      <c r="D11" s="82"/>
      <c r="E11" s="82"/>
      <c r="F11" s="82"/>
      <c r="G11" s="82"/>
      <c r="H11" s="82"/>
      <c r="I11" s="82"/>
      <c r="J11" s="82"/>
      <c r="K11" s="82"/>
      <c r="L11" s="82"/>
      <c r="M11" s="82"/>
      <c r="N11" s="82"/>
      <c r="O11" s="82"/>
    </row>
    <row r="13" spans="2:15" x14ac:dyDescent="0.35">
      <c r="B13" s="83" t="s">
        <v>49</v>
      </c>
    </row>
    <row r="14" spans="2:15" ht="21.5" customHeight="1" x14ac:dyDescent="0.35">
      <c r="B14" s="87" t="s">
        <v>35</v>
      </c>
      <c r="C14" s="88"/>
      <c r="D14" s="88"/>
      <c r="E14" s="88"/>
      <c r="F14" s="88"/>
      <c r="G14" s="88"/>
      <c r="H14" s="88"/>
      <c r="I14" s="88"/>
      <c r="J14" s="88"/>
      <c r="K14" s="88"/>
      <c r="L14" s="88"/>
      <c r="M14" s="88"/>
      <c r="N14" s="88"/>
      <c r="O14" s="88"/>
    </row>
    <row r="15" spans="2:15" ht="19" customHeight="1" x14ac:dyDescent="0.35">
      <c r="B15" s="140" t="s">
        <v>36</v>
      </c>
      <c r="C15" s="140"/>
      <c r="D15" s="140"/>
      <c r="E15" s="140"/>
      <c r="F15" s="140"/>
      <c r="G15" s="140"/>
      <c r="H15" s="140"/>
      <c r="I15" s="140"/>
      <c r="J15" s="140"/>
      <c r="K15" s="140"/>
      <c r="L15" s="140"/>
      <c r="M15" s="140"/>
      <c r="N15" s="140"/>
      <c r="O15" s="140"/>
    </row>
    <row r="16" spans="2:15" x14ac:dyDescent="0.35">
      <c r="B16" s="140"/>
      <c r="C16" s="140"/>
      <c r="D16" s="140"/>
      <c r="E16" s="140"/>
      <c r="F16" s="140"/>
      <c r="G16" s="140"/>
      <c r="H16" s="140"/>
      <c r="I16" s="140"/>
      <c r="J16" s="140"/>
      <c r="K16" s="140"/>
      <c r="L16" s="140"/>
      <c r="M16" s="140"/>
      <c r="N16" s="140"/>
      <c r="O16" s="140"/>
    </row>
    <row r="17" spans="2:15" ht="20.5" customHeight="1" x14ac:dyDescent="0.35">
      <c r="B17" s="87" t="s">
        <v>38</v>
      </c>
      <c r="C17" s="88"/>
      <c r="D17" s="88"/>
      <c r="E17" s="88"/>
      <c r="F17" s="88"/>
      <c r="G17" s="88"/>
      <c r="H17" s="88"/>
      <c r="I17" s="88"/>
      <c r="J17" s="88"/>
      <c r="K17" s="88"/>
      <c r="L17" s="88"/>
      <c r="M17" s="88"/>
      <c r="N17" s="88"/>
      <c r="O17" s="88"/>
    </row>
    <row r="19" spans="2:15" ht="14.5" customHeight="1" x14ac:dyDescent="0.35">
      <c r="B19" s="138" t="s">
        <v>50</v>
      </c>
      <c r="C19" s="138"/>
      <c r="D19" s="138"/>
      <c r="E19" s="138"/>
      <c r="F19" s="138"/>
      <c r="G19" s="138"/>
      <c r="H19" s="138"/>
      <c r="I19" s="138"/>
      <c r="J19" s="138"/>
      <c r="K19" s="138"/>
      <c r="L19" s="138"/>
      <c r="M19" s="138"/>
      <c r="N19" s="138"/>
      <c r="O19" s="138"/>
    </row>
    <row r="20" spans="2:15" x14ac:dyDescent="0.35">
      <c r="B20" s="138"/>
      <c r="C20" s="138"/>
      <c r="D20" s="138"/>
      <c r="E20" s="138"/>
      <c r="F20" s="138"/>
      <c r="G20" s="138"/>
      <c r="H20" s="138"/>
      <c r="I20" s="138"/>
      <c r="J20" s="138"/>
      <c r="K20" s="138"/>
      <c r="L20" s="138"/>
      <c r="M20" s="138"/>
      <c r="N20" s="138"/>
      <c r="O20" s="138"/>
    </row>
    <row r="21" spans="2:15" x14ac:dyDescent="0.35">
      <c r="B21" s="138"/>
      <c r="C21" s="138"/>
      <c r="D21" s="138"/>
      <c r="E21" s="138"/>
      <c r="F21" s="138"/>
      <c r="G21" s="138"/>
      <c r="H21" s="138"/>
      <c r="I21" s="138"/>
      <c r="J21" s="138"/>
      <c r="K21" s="138"/>
      <c r="L21" s="138"/>
      <c r="M21" s="138"/>
      <c r="N21" s="138"/>
      <c r="O21" s="138"/>
    </row>
    <row r="22" spans="2:15" ht="14.5" customHeight="1" x14ac:dyDescent="0.35">
      <c r="B22" s="138" t="s">
        <v>112</v>
      </c>
      <c r="C22" s="138"/>
      <c r="D22" s="138"/>
      <c r="E22" s="138"/>
      <c r="F22" s="138"/>
      <c r="G22" s="138"/>
      <c r="H22" s="138"/>
      <c r="I22" s="138"/>
      <c r="J22" s="138"/>
      <c r="K22" s="138"/>
      <c r="L22" s="138"/>
      <c r="M22" s="138"/>
      <c r="N22" s="138"/>
      <c r="O22" s="138"/>
    </row>
    <row r="23" spans="2:15" ht="10" customHeight="1" x14ac:dyDescent="0.35">
      <c r="B23" s="104"/>
      <c r="C23" s="104"/>
      <c r="D23" s="104"/>
      <c r="E23" s="104"/>
      <c r="F23" s="104"/>
      <c r="G23" s="104"/>
      <c r="H23" s="104"/>
      <c r="I23" s="104"/>
      <c r="J23" s="104"/>
      <c r="K23" s="104"/>
      <c r="L23" s="104"/>
      <c r="M23" s="104"/>
      <c r="N23" s="104"/>
      <c r="O23" s="104"/>
    </row>
    <row r="24" spans="2:15" x14ac:dyDescent="0.35">
      <c r="B24" s="138" t="s">
        <v>153</v>
      </c>
      <c r="C24" s="138"/>
      <c r="D24" s="138"/>
      <c r="E24" s="138"/>
      <c r="F24" s="138"/>
      <c r="G24" s="138"/>
      <c r="H24" s="138"/>
      <c r="I24" s="138"/>
      <c r="J24" s="138"/>
      <c r="K24" s="138"/>
      <c r="L24" s="138"/>
      <c r="M24" s="138"/>
      <c r="N24" s="138"/>
      <c r="O24" s="138"/>
    </row>
    <row r="25" spans="2:15" ht="22" customHeight="1" x14ac:dyDescent="0.35">
      <c r="B25" s="138"/>
      <c r="C25" s="138"/>
      <c r="D25" s="138"/>
      <c r="E25" s="138"/>
      <c r="F25" s="138"/>
      <c r="G25" s="138"/>
      <c r="H25" s="138"/>
      <c r="I25" s="138"/>
      <c r="J25" s="138"/>
      <c r="K25" s="138"/>
      <c r="L25" s="138"/>
      <c r="M25" s="138"/>
      <c r="N25" s="138"/>
      <c r="O25" s="138"/>
    </row>
  </sheetData>
  <sheetProtection algorithmName="SHA-512" hashValue="+Eq3L2S4D3oPgq7gd6U1TJRgE1ChMSmdLYK5XHLM2xHswbZRIpyGL0MJzGNcSEoZ2WZvPWznDt5aHaYXlQOfuA==" saltValue="YS3PxlXEzc2tUicCRnKT3w==" spinCount="100000" sheet="1" objects="1" scenarios="1" formatRows="0"/>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24"/>
  <sheetViews>
    <sheetView showGridLines="0" showRowColHeaders="0" tabSelected="1" workbookViewId="0">
      <selection activeCell="H19" sqref="H19"/>
    </sheetView>
  </sheetViews>
  <sheetFormatPr baseColWidth="10" defaultRowHeight="14.5" x14ac:dyDescent="0.35"/>
  <cols>
    <col min="1" max="1" width="2.453125" style="81" customWidth="1"/>
    <col min="2" max="2" width="23.26953125" style="81" customWidth="1"/>
    <col min="3" max="3" width="19.453125" style="81" customWidth="1"/>
    <col min="4" max="16384" width="10.90625" style="81"/>
  </cols>
  <sheetData>
    <row r="1" spans="2:13" ht="9" customHeight="1" x14ac:dyDescent="0.35"/>
    <row r="2" spans="2:13" x14ac:dyDescent="0.35">
      <c r="B2" s="142" t="s">
        <v>145</v>
      </c>
      <c r="C2" s="142"/>
    </row>
    <row r="3" spans="2:13" ht="27" customHeight="1" x14ac:dyDescent="0.35">
      <c r="B3" s="141" t="s">
        <v>147</v>
      </c>
      <c r="C3" s="141"/>
      <c r="D3" s="141"/>
      <c r="E3" s="141"/>
      <c r="F3" s="141"/>
      <c r="G3" s="141"/>
      <c r="H3" s="141"/>
      <c r="I3" s="141"/>
      <c r="J3" s="141"/>
      <c r="K3" s="141"/>
      <c r="L3" s="141"/>
      <c r="M3" s="141"/>
    </row>
    <row r="4" spans="2:13" ht="22.5" customHeight="1" x14ac:dyDescent="0.35">
      <c r="B4" s="141"/>
      <c r="C4" s="141"/>
      <c r="D4" s="141"/>
      <c r="E4" s="141"/>
      <c r="F4" s="141"/>
      <c r="G4" s="141"/>
      <c r="H4" s="141"/>
      <c r="I4" s="141"/>
      <c r="J4" s="141"/>
      <c r="K4" s="141"/>
      <c r="L4" s="141"/>
      <c r="M4" s="141"/>
    </row>
    <row r="6" spans="2:13" x14ac:dyDescent="0.35">
      <c r="B6" s="89" t="s">
        <v>42</v>
      </c>
      <c r="C6" s="99" t="s">
        <v>120</v>
      </c>
    </row>
    <row r="7" spans="2:13" x14ac:dyDescent="0.35">
      <c r="B7" s="89" t="s">
        <v>39</v>
      </c>
      <c r="C7" s="99" t="s">
        <v>43</v>
      </c>
    </row>
    <row r="8" spans="2:13" x14ac:dyDescent="0.35">
      <c r="B8" s="89" t="s">
        <v>40</v>
      </c>
      <c r="C8" s="99" t="s">
        <v>44</v>
      </c>
    </row>
    <row r="9" spans="2:13" x14ac:dyDescent="0.35">
      <c r="B9" s="89" t="s">
        <v>41</v>
      </c>
      <c r="C9" s="90">
        <v>25000</v>
      </c>
    </row>
    <row r="10" spans="2:13" x14ac:dyDescent="0.35">
      <c r="B10" s="89" t="s">
        <v>154</v>
      </c>
      <c r="C10" s="115" t="s">
        <v>155</v>
      </c>
    </row>
    <row r="11" spans="2:13" x14ac:dyDescent="0.35">
      <c r="B11" s="89" t="s">
        <v>148</v>
      </c>
      <c r="C11" s="115" t="s">
        <v>149</v>
      </c>
    </row>
    <row r="12" spans="2:13" x14ac:dyDescent="0.35">
      <c r="B12" s="89" t="s">
        <v>62</v>
      </c>
      <c r="C12" s="103">
        <v>0</v>
      </c>
    </row>
    <row r="13" spans="2:13" x14ac:dyDescent="0.35">
      <c r="B13" s="89" t="s">
        <v>63</v>
      </c>
      <c r="C13" s="103" t="s">
        <v>144</v>
      </c>
    </row>
    <row r="14" spans="2:13" x14ac:dyDescent="0.35">
      <c r="B14" s="89" t="s">
        <v>56</v>
      </c>
      <c r="C14" s="103" t="s">
        <v>146</v>
      </c>
    </row>
    <row r="16" spans="2:13" ht="14.5" customHeight="1" x14ac:dyDescent="0.35">
      <c r="B16" s="143" t="s">
        <v>150</v>
      </c>
      <c r="C16" s="143"/>
      <c r="D16" s="143"/>
      <c r="E16" s="143"/>
      <c r="F16" s="143"/>
      <c r="G16" s="143"/>
      <c r="H16" s="143"/>
      <c r="I16" s="143"/>
      <c r="J16" s="143"/>
      <c r="K16" s="143"/>
      <c r="L16" s="143"/>
      <c r="M16" s="143"/>
    </row>
    <row r="17" spans="2:13" ht="16" customHeight="1" x14ac:dyDescent="0.35">
      <c r="B17" s="143"/>
      <c r="C17" s="143"/>
      <c r="D17" s="143"/>
      <c r="E17" s="143"/>
      <c r="F17" s="143"/>
      <c r="G17" s="143"/>
      <c r="H17" s="143"/>
      <c r="I17" s="143"/>
      <c r="J17" s="143"/>
      <c r="K17" s="143"/>
      <c r="L17" s="143"/>
      <c r="M17" s="143"/>
    </row>
    <row r="18" spans="2:13" x14ac:dyDescent="0.35">
      <c r="B18" s="144" t="s">
        <v>61</v>
      </c>
      <c r="C18" s="144"/>
      <c r="D18" s="144"/>
      <c r="E18" s="144"/>
      <c r="F18" s="144"/>
      <c r="G18" s="144"/>
      <c r="H18" s="144"/>
      <c r="I18" s="144"/>
      <c r="J18" s="144"/>
      <c r="K18" s="144"/>
      <c r="L18" s="144"/>
      <c r="M18" s="144"/>
    </row>
    <row r="19" spans="2:13" x14ac:dyDescent="0.35">
      <c r="G19"/>
    </row>
    <row r="20" spans="2:13" x14ac:dyDescent="0.35">
      <c r="B20" s="130">
        <v>0</v>
      </c>
      <c r="C20" s="131">
        <v>44866</v>
      </c>
      <c r="D20" s="131">
        <v>45048</v>
      </c>
      <c r="E20" s="131">
        <v>45231</v>
      </c>
      <c r="F20" s="131">
        <v>45414</v>
      </c>
      <c r="G20" s="131">
        <v>45597</v>
      </c>
      <c r="H20" s="131">
        <v>45779</v>
      </c>
      <c r="I20" s="131">
        <v>45961</v>
      </c>
      <c r="J20" s="131">
        <v>46142</v>
      </c>
      <c r="K20" s="136"/>
    </row>
    <row r="21" spans="2:13" ht="15" x14ac:dyDescent="0.4">
      <c r="B21" s="132" t="s">
        <v>162</v>
      </c>
      <c r="C21" s="133">
        <v>7.9134165493924102E-2</v>
      </c>
      <c r="D21" s="133">
        <v>0.19940470555756445</v>
      </c>
      <c r="E21" s="133">
        <v>0.11890852931282876</v>
      </c>
      <c r="F21" s="133">
        <v>0.3320696510293108</v>
      </c>
      <c r="G21" s="133">
        <v>0.31856384848921998</v>
      </c>
      <c r="H21" s="133">
        <v>0.40400078431130082</v>
      </c>
      <c r="I21" s="133">
        <v>0.51877376473111925</v>
      </c>
      <c r="J21" s="133">
        <v>0.59037386417247317</v>
      </c>
      <c r="K21" s="136"/>
    </row>
    <row r="22" spans="2:13" ht="15" x14ac:dyDescent="0.4">
      <c r="B22" s="132" t="s">
        <v>163</v>
      </c>
      <c r="C22" s="133">
        <v>-5.7201165668863303E-4</v>
      </c>
      <c r="D22" s="133">
        <v>0.11545613482270309</v>
      </c>
      <c r="E22" s="133">
        <v>2.0632277591742951E-2</v>
      </c>
      <c r="F22" s="133">
        <v>0.17776338457729252</v>
      </c>
      <c r="G22" s="133">
        <v>8.4476143122673417E-2</v>
      </c>
      <c r="H22" s="133">
        <v>0.20420556221432268</v>
      </c>
      <c r="I22" s="133">
        <v>0.33910389046600231</v>
      </c>
      <c r="J22" s="133">
        <v>0.43319878859484373</v>
      </c>
      <c r="K22" s="136"/>
    </row>
    <row r="23" spans="2:13" x14ac:dyDescent="0.35">
      <c r="B23" s="136"/>
      <c r="C23" s="136"/>
      <c r="D23" s="136"/>
      <c r="E23" s="136"/>
      <c r="F23" s="136"/>
      <c r="G23" s="136"/>
      <c r="H23" s="136"/>
      <c r="I23" s="136"/>
      <c r="J23" s="136"/>
      <c r="K23" s="136"/>
    </row>
    <row r="24" spans="2:13" x14ac:dyDescent="0.35">
      <c r="B24" s="136"/>
      <c r="C24" s="136"/>
      <c r="D24" s="136"/>
      <c r="E24" s="136"/>
      <c r="F24" s="136"/>
      <c r="G24" s="136"/>
      <c r="H24" s="136"/>
      <c r="I24" s="136"/>
      <c r="J24" s="136"/>
      <c r="K24" s="136"/>
    </row>
  </sheetData>
  <sheetProtection algorithmName="SHA-512" hashValue="EG5t3UUEcUI0v4ZcDl0d8rInlTsqEzSy5WEL3NQZ77B2MfGcHENMQnnVjxGlepQzVsvwohjZF7OO/61/cB+ETw==" saltValue="ZfehZLMgWLmfu7i0pk8qHw==" spinCount="100000" sheet="1" objects="1" scenarios="1" formatRows="0"/>
  <mergeCells count="4">
    <mergeCell ref="B3:M4"/>
    <mergeCell ref="B2:C2"/>
    <mergeCell ref="B16:M17"/>
    <mergeCell ref="B18:M18"/>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AA150"/>
  <sheetViews>
    <sheetView showGridLines="0" showRowColHeaders="0" topLeftCell="A23" zoomScale="90" zoomScaleNormal="90" workbookViewId="0">
      <selection activeCell="I41" sqref="I41"/>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2.08984375" customWidth="1"/>
    <col min="14" max="14" width="9.7265625" customWidth="1"/>
    <col min="19" max="19" width="15.81640625" customWidth="1"/>
    <col min="20" max="22" width="10.90625" customWidth="1"/>
  </cols>
  <sheetData>
    <row r="1" spans="2:27" ht="10" customHeight="1" x14ac:dyDescent="0.35"/>
    <row r="2" spans="2:27" ht="15" customHeight="1" x14ac:dyDescent="0.4">
      <c r="B2" s="146" t="s">
        <v>0</v>
      </c>
      <c r="C2" s="146"/>
      <c r="D2" s="78">
        <f>'Último rebalanceo'!D2</f>
        <v>46142</v>
      </c>
      <c r="E2" s="15"/>
      <c r="F2" s="145" t="s">
        <v>45</v>
      </c>
      <c r="G2" s="145"/>
      <c r="H2" s="112">
        <f>'Último rebalanceo'!H2</f>
        <v>0</v>
      </c>
      <c r="U2" s="20"/>
    </row>
    <row r="3" spans="2:27" ht="15" x14ac:dyDescent="0.4">
      <c r="B3" s="154" t="s">
        <v>24</v>
      </c>
      <c r="C3" s="154"/>
      <c r="D3" s="66">
        <v>25000</v>
      </c>
      <c r="F3" s="93"/>
      <c r="G3" s="93"/>
      <c r="N3" s="28"/>
      <c r="U3" s="20"/>
    </row>
    <row r="4" spans="2:27" ht="15.5" thickBot="1" x14ac:dyDescent="0.45">
      <c r="B4" s="56"/>
      <c r="C4" s="56"/>
      <c r="N4" s="28"/>
      <c r="S4" s="20"/>
      <c r="T4" s="20"/>
      <c r="U4" s="20"/>
      <c r="V4" s="20"/>
      <c r="W4" s="20" t="s">
        <v>161</v>
      </c>
      <c r="X4" s="20"/>
      <c r="Y4" s="20"/>
      <c r="Z4" s="20"/>
    </row>
    <row r="5" spans="2:27" ht="37" thickTop="1" thickBot="1" x14ac:dyDescent="0.5">
      <c r="B5" s="1" t="s">
        <v>1</v>
      </c>
      <c r="C5" s="1" t="s">
        <v>2</v>
      </c>
      <c r="D5" s="1" t="s">
        <v>3</v>
      </c>
      <c r="E5" s="2" t="s">
        <v>8</v>
      </c>
      <c r="F5" s="1" t="s">
        <v>4</v>
      </c>
      <c r="G5" s="2" t="s">
        <v>16</v>
      </c>
      <c r="H5" s="1" t="s">
        <v>9</v>
      </c>
      <c r="I5" s="114" t="s">
        <v>32</v>
      </c>
      <c r="J5" s="2" t="s">
        <v>11</v>
      </c>
      <c r="K5" s="117" t="s">
        <v>6</v>
      </c>
      <c r="L5" s="119" t="s">
        <v>51</v>
      </c>
      <c r="M5" s="29"/>
      <c r="S5" s="127" t="s">
        <v>57</v>
      </c>
      <c r="T5" s="127" t="s">
        <v>58</v>
      </c>
      <c r="U5" s="127" t="s">
        <v>59</v>
      </c>
      <c r="V5" s="127" t="s">
        <v>60</v>
      </c>
      <c r="W5" s="127"/>
      <c r="X5" s="127" t="s">
        <v>58</v>
      </c>
      <c r="Y5" s="127" t="s">
        <v>59</v>
      </c>
      <c r="Z5" s="127" t="s">
        <v>60</v>
      </c>
    </row>
    <row r="6" spans="2:27" ht="16.5" thickTop="1" thickBot="1" x14ac:dyDescent="0.5">
      <c r="B6" s="3" t="str" cm="1">
        <f t="array" ref="B6">IF(ROW(A1) &lt;= COUNTA(_xlfn._xlws.FILTER('Último rebalanceo'!B$7:B$45, ('Último rebalanceo'!$K$7:$K$45&gt;0)*ISNUMBER('Último rebalanceo'!$K$7:$K$45))),
INDEX(_xlfn._xlws.FILTER('Último rebalanceo'!B$7:$B$45, ('Último rebalanceo'!$K$7:$K$45&gt;0)*ISNUMBER('Último rebalanceo'!$K$7:$K$45)), ROW(A1)),
"0")</f>
        <v>GAPB</v>
      </c>
      <c r="C6" s="37" t="str">
        <f>VLOOKUP(B6,GICS!$A:$B,2,0)</f>
        <v>Grupo Aeroportuario del Pacifico, S.A.B. de C.V.</v>
      </c>
      <c r="D6" s="108">
        <f>VLOOKUP($B6,'Último rebalanceo'!$B7:$K45,10,0)</f>
        <v>3</v>
      </c>
      <c r="E6" s="4">
        <f>VLOOKUP($B6,'Último rebalanceo'!$B7:$H45,4,0)</f>
        <v>214.37476239885609</v>
      </c>
      <c r="F6" s="5">
        <f t="shared" ref="F6:F41" si="0">D6*E6</f>
        <v>643.12428719656828</v>
      </c>
      <c r="G6" s="4">
        <f>VLOOKUP($B6,'Último rebalanceo'!$B7:$H45,7,0)</f>
        <v>438.21</v>
      </c>
      <c r="H6" s="5">
        <f t="shared" ref="H6:H40" si="1">D6*G6</f>
        <v>1314.6299999999999</v>
      </c>
      <c r="I6" s="5">
        <v>280.81</v>
      </c>
      <c r="J6" s="6">
        <f>(G6+I6/E6)/E6-1</f>
        <v>1.0502408838065849</v>
      </c>
      <c r="K6" s="6">
        <f t="shared" ref="K6:K41" si="2">H6/$H$43</f>
        <v>2.913851524966676E-2</v>
      </c>
      <c r="L6" s="120" t="str">
        <f>VLOOKUP(B6,GICS!A:C,3,0)</f>
        <v>Industrial</v>
      </c>
      <c r="M6" s="8"/>
      <c r="N6" s="9"/>
      <c r="O6" s="9"/>
      <c r="P6" s="137"/>
      <c r="Q6" s="137"/>
      <c r="S6" s="128" t="s">
        <v>52</v>
      </c>
      <c r="T6" s="129">
        <f>SUMIF($L$6:$L$41,S6,$K$6:$K$41)</f>
        <v>0.20690245350898873</v>
      </c>
      <c r="U6" s="129">
        <f>SUMIF($L$6:$L$41,$S6,$K$54:$K$89)</f>
        <v>0.14776031155209743</v>
      </c>
      <c r="V6" s="129">
        <f>SUMIF($L$6:$L$41,$S6,$I$101:$I$136)</f>
        <v>0.20163944444444445</v>
      </c>
      <c r="W6" s="128" t="str" cm="1">
        <f t="array" ref="W6">IFERROR(INDEX(S$6:S$17, SMALL(IF(T$6:T$17&gt;0, ROW(S$6:S$17)-ROW(S$6)+1), ROW(A1))),$W$4)</f>
        <v>Consumo básico</v>
      </c>
      <c r="X6" s="129">
        <f>IF($W6="", "", INDEX(T$6:T$17, MATCH($W6, $S$6:$S$17, 0)))</f>
        <v>0.20690245350898873</v>
      </c>
      <c r="Y6" s="129">
        <f t="shared" ref="Y6:Z6" si="3">IF($W6="", "", INDEX(U$6:U$17, MATCH($W6, $S$6:$S$17, 0)))</f>
        <v>0.14776031155209743</v>
      </c>
      <c r="Z6" s="129">
        <f t="shared" si="3"/>
        <v>0.20163944444444445</v>
      </c>
      <c r="AA6" s="118"/>
    </row>
    <row r="7" spans="2:27" ht="16.5" thickTop="1" thickBot="1" x14ac:dyDescent="0.5">
      <c r="B7" s="3" t="str" cm="1">
        <f t="array" ref="B7">IF(ROW(A2) &lt;= COUNTA(_xlfn._xlws.FILTER('Último rebalanceo'!B$7:B$45, ('Último rebalanceo'!$K$7:$K$45&gt;0)*ISNUMBER('Último rebalanceo'!$K$7:$K$45))),
INDEX(_xlfn._xlws.FILTER('Último rebalanceo'!B$7:$B$45, ('Último rebalanceo'!$K$7:$K$45&gt;0)*ISNUMBER('Último rebalanceo'!$K$7:$K$45)), ROW(A2)),
"0")</f>
        <v>SIGMAFA</v>
      </c>
      <c r="C7" s="37" t="str">
        <f>VLOOKUP(B7,GICS!$A:$B,2,0)</f>
        <v>Sigma Foods SAB de CV</v>
      </c>
      <c r="D7" s="108">
        <f>VLOOKUP($B7,'Último rebalanceo'!$B8:$K46,10,0)</f>
        <v>59</v>
      </c>
      <c r="E7" s="4">
        <f>VLOOKUP($B7,'Último rebalanceo'!$B8:$H46,4,0)</f>
        <v>13.200222211900369</v>
      </c>
      <c r="F7" s="5">
        <f t="shared" si="0"/>
        <v>778.81311050212184</v>
      </c>
      <c r="G7" s="4">
        <f>VLOOKUP($B7,'Último rebalanceo'!$B8:$H46,7,0)</f>
        <v>16.55</v>
      </c>
      <c r="H7" s="5">
        <f t="shared" si="1"/>
        <v>976.45</v>
      </c>
      <c r="I7" s="5">
        <v>51.547541609999996</v>
      </c>
      <c r="J7" s="6">
        <f t="shared" ref="J7:J40" si="4">(G7+I7/E7)/E7-1</f>
        <v>0.54959899323883965</v>
      </c>
      <c r="K7" s="6">
        <f t="shared" si="2"/>
        <v>2.1642822098641528E-2</v>
      </c>
      <c r="L7" s="120" t="str">
        <f>VLOOKUP(B7,GICS!A:C,3,0)</f>
        <v>Consumo básico</v>
      </c>
      <c r="M7" s="8"/>
      <c r="N7" s="9"/>
      <c r="O7" s="9"/>
      <c r="P7" s="137"/>
      <c r="Q7" s="137"/>
      <c r="S7" s="128" t="s">
        <v>53</v>
      </c>
      <c r="T7" s="129">
        <f t="shared" ref="T7:T16" si="5">SUMIF($L$6:$L$41,S7,$K$6:$K$41)</f>
        <v>0.12449859141478267</v>
      </c>
      <c r="U7" s="129">
        <f t="shared" ref="U7:U16" si="6">SUMIF($L$6:$L$41,$S7,$K$54:$K$89)</f>
        <v>0.10334495273590849</v>
      </c>
      <c r="V7" s="129">
        <f t="shared" ref="V7:V16" si="7">SUMIF($L$6:$L$41,$S7,$I$101:$I$136)</f>
        <v>0.12329111111111112</v>
      </c>
      <c r="W7" s="128" t="str" cm="1">
        <f t="array" ref="W7">IFERROR(INDEX(S$6:S$17, SMALL(IF(T$6:T$17&gt;0, ROW(S$6:S$17)-ROW(S$6)+1), ROW(A2))),$W$4)</f>
        <v>Industrial</v>
      </c>
      <c r="X7" s="129">
        <f t="shared" ref="X7:X17" si="8">IF($W7="", "", INDEX(T$6:T$17, MATCH($W7, $S$6:$S$17, 0)))</f>
        <v>0.12449859141478267</v>
      </c>
      <c r="Y7" s="129">
        <f t="shared" ref="Y7:Y17" si="9">IF($W7="", "", INDEX(U$6:U$17, MATCH($W7, $S$6:$S$17, 0)))</f>
        <v>0.10334495273590849</v>
      </c>
      <c r="Z7" s="129">
        <f t="shared" ref="Z7:Z17" si="10">IF($W7="", "", INDEX(V$6:V$17, MATCH($W7, $S$6:$S$17, 0)))</f>
        <v>0.12329111111111112</v>
      </c>
      <c r="AA7" s="118"/>
    </row>
    <row r="8" spans="2:27" ht="16.5" thickTop="1" thickBot="1" x14ac:dyDescent="0.5">
      <c r="B8" s="3" t="str" cm="1">
        <f t="array" ref="B8">IF(ROW(A3) &lt;= COUNTA(_xlfn._xlws.FILTER('Último rebalanceo'!B$7:B$45, ('Último rebalanceo'!$K$7:$K$45&gt;0)*ISNUMBER('Último rebalanceo'!$K$7:$K$45))),
INDEX(_xlfn._xlws.FILTER('Último rebalanceo'!B$7:$B$45, ('Último rebalanceo'!$K$7:$K$45&gt;0)*ISNUMBER('Último rebalanceo'!$K$7:$K$45)), ROW(A3)),
"0")</f>
        <v>WALMEX</v>
      </c>
      <c r="C8" s="37" t="str">
        <f>VLOOKUP(B8,GICS!$A:$B,2,0)</f>
        <v>Walmart de Mexico SAB de CV</v>
      </c>
      <c r="D8" s="108">
        <f>VLOOKUP($B8,'Último rebalanceo'!$B9:$K47,10,0)</f>
        <v>16</v>
      </c>
      <c r="E8" s="4">
        <f>VLOOKUP($B8,'Último rebalanceo'!$B9:$H47,4,0)</f>
        <v>62.286719778696693</v>
      </c>
      <c r="F8" s="5">
        <f t="shared" si="0"/>
        <v>996.58751645914708</v>
      </c>
      <c r="G8" s="4">
        <f>VLOOKUP($B8,'Último rebalanceo'!$B9:$H47,7,0)</f>
        <v>55.07</v>
      </c>
      <c r="H8" s="5">
        <f t="shared" si="1"/>
        <v>881.12</v>
      </c>
      <c r="I8" s="5">
        <v>93</v>
      </c>
      <c r="J8" s="6">
        <f t="shared" si="4"/>
        <v>-9.1891572334601546E-2</v>
      </c>
      <c r="K8" s="6">
        <f t="shared" si="2"/>
        <v>1.9529851408218571E-2</v>
      </c>
      <c r="L8" s="120" t="str">
        <f>VLOOKUP(B8,GICS!A:C,3,0)</f>
        <v>Consumo básico</v>
      </c>
      <c r="M8" s="8"/>
      <c r="N8" s="9"/>
      <c r="O8" s="9"/>
      <c r="P8" s="137"/>
      <c r="Q8" s="137"/>
      <c r="S8" s="128" t="s">
        <v>101</v>
      </c>
      <c r="T8" s="129">
        <f t="shared" si="5"/>
        <v>0.13536089652603386</v>
      </c>
      <c r="U8" s="129">
        <f t="shared" si="6"/>
        <v>0.30931473047824887</v>
      </c>
      <c r="V8" s="129">
        <f t="shared" si="7"/>
        <v>0.13915</v>
      </c>
      <c r="W8" s="128" t="str" cm="1">
        <f t="array" ref="W8">IFERROR(INDEX(S$6:S$17, SMALL(IF(T$6:T$17&gt;0, ROW(S$6:S$17)-ROW(S$6)+1), ROW(A3))),$W$4)</f>
        <v>Consumo discrecional</v>
      </c>
      <c r="X8" s="129">
        <f t="shared" si="8"/>
        <v>0.13536089652603386</v>
      </c>
      <c r="Y8" s="129">
        <f t="shared" si="9"/>
        <v>0.30931473047824887</v>
      </c>
      <c r="Z8" s="129">
        <f t="shared" si="10"/>
        <v>0.13915</v>
      </c>
      <c r="AA8" s="118"/>
    </row>
    <row r="9" spans="2:27" ht="16.5" thickTop="1" thickBot="1" x14ac:dyDescent="0.5">
      <c r="B9" s="3" t="str" cm="1">
        <f t="array" ref="B9">IF(ROW(A4) &lt;= COUNTA(_xlfn._xlws.FILTER('Último rebalanceo'!B$7:B$45, ('Último rebalanceo'!$K$7:$K$45&gt;0)*ISNUMBER('Último rebalanceo'!$K$7:$K$45))),
INDEX(_xlfn._xlws.FILTER('Último rebalanceo'!B$7:$B$45, ('Último rebalanceo'!$K$7:$K$45&gt;0)*ISNUMBER('Último rebalanceo'!$K$7:$K$45)), ROW(A4)),
"0")</f>
        <v>ORBIA</v>
      </c>
      <c r="C9" s="37" t="str">
        <f>VLOOKUP(B9,GICS!$A:$B,2,0)</f>
        <v>ORBIA ADVANCE CORPORATION SAB de CV</v>
      </c>
      <c r="D9" s="108">
        <f>VLOOKUP($B9,'Último rebalanceo'!$B10:$K48,10,0)</f>
        <v>75</v>
      </c>
      <c r="E9" s="4">
        <f>VLOOKUP($B9,'Último rebalanceo'!$B10:$H48,4,0)</f>
        <v>25.34134430943703</v>
      </c>
      <c r="F9" s="5">
        <f t="shared" si="0"/>
        <v>1900.6008232077772</v>
      </c>
      <c r="G9" s="4">
        <f>VLOOKUP($B9,'Último rebalanceo'!$B10:$H48,7,0)</f>
        <v>20.91</v>
      </c>
      <c r="H9" s="5">
        <f t="shared" si="1"/>
        <v>1568.25</v>
      </c>
      <c r="I9" s="5">
        <v>40.427966000000005</v>
      </c>
      <c r="J9" s="6">
        <f t="shared" si="4"/>
        <v>-0.11191229609846232</v>
      </c>
      <c r="K9" s="6">
        <f t="shared" si="2"/>
        <v>3.4759952640887479E-2</v>
      </c>
      <c r="L9" s="120" t="str">
        <f>VLOOKUP(B9,GICS!A:C,3,0)</f>
        <v>Materiales</v>
      </c>
      <c r="M9" s="8"/>
      <c r="N9" s="9"/>
      <c r="O9" s="9"/>
      <c r="P9" s="137"/>
      <c r="Q9" s="137"/>
      <c r="S9" s="128" t="s">
        <v>55</v>
      </c>
      <c r="T9" s="129">
        <f t="shared" si="5"/>
        <v>0.19138642631485484</v>
      </c>
      <c r="U9" s="129">
        <f t="shared" si="6"/>
        <v>0.16870160384675625</v>
      </c>
      <c r="V9" s="129">
        <f t="shared" si="7"/>
        <v>0.20584722222222218</v>
      </c>
      <c r="W9" s="128" t="str" cm="1">
        <f t="array" ref="W9">IFERROR(INDEX(S$6:S$17, SMALL(IF(T$6:T$17&gt;0, ROW(S$6:S$17)-ROW(S$6)+1), ROW(A4))),$W$4)</f>
        <v>Materiales</v>
      </c>
      <c r="X9" s="129">
        <f t="shared" si="8"/>
        <v>0.19138642631485484</v>
      </c>
      <c r="Y9" s="129">
        <f t="shared" si="9"/>
        <v>0.16870160384675625</v>
      </c>
      <c r="Z9" s="129">
        <f t="shared" si="10"/>
        <v>0.20584722222222218</v>
      </c>
      <c r="AA9" s="118"/>
    </row>
    <row r="10" spans="2:27" ht="16.5" thickTop="1" thickBot="1" x14ac:dyDescent="0.5">
      <c r="B10" s="3" t="str" cm="1">
        <f t="array" ref="B10">IF(ROW(A5) &lt;= COUNTA(_xlfn._xlws.FILTER('Último rebalanceo'!B$7:B$45, ('Último rebalanceo'!$K$7:$K$45&gt;0)*ISNUMBER('Último rebalanceo'!$K$7:$K$45))),
INDEX(_xlfn._xlws.FILTER('Último rebalanceo'!B$7:$B$45, ('Último rebalanceo'!$K$7:$K$45&gt;0)*ISNUMBER('Último rebalanceo'!$K$7:$K$45)), ROW(A5)),
"0")</f>
        <v>OMAB</v>
      </c>
      <c r="C10" s="37" t="str">
        <f>VLOOKUP(B10,GICS!$A:$B,2,0)</f>
        <v>Grupo Aeroportuario del Centro Norte, S.A.B. de C.V.</v>
      </c>
      <c r="D10" s="108">
        <f>VLOOKUP($B10,'Último rebalanceo'!$B11:$K49,10,0)</f>
        <v>8</v>
      </c>
      <c r="E10" s="4">
        <f>VLOOKUP($B10,'Último rebalanceo'!$B11:$H49,4,0)</f>
        <v>106.4765609741211</v>
      </c>
      <c r="F10" s="5">
        <f t="shared" si="0"/>
        <v>851.8124877929688</v>
      </c>
      <c r="G10" s="4">
        <f>VLOOKUP($B10,'Último rebalanceo'!$B11:$H49,7,0)</f>
        <v>231.83</v>
      </c>
      <c r="H10" s="5">
        <f t="shared" si="1"/>
        <v>1854.64</v>
      </c>
      <c r="I10" s="5">
        <v>476.58158099999991</v>
      </c>
      <c r="J10" s="6">
        <f t="shared" si="4"/>
        <v>1.2193234580876018</v>
      </c>
      <c r="K10" s="6">
        <f t="shared" si="2"/>
        <v>4.1107730633442086E-2</v>
      </c>
      <c r="L10" s="120" t="str">
        <f>VLOOKUP(B10,GICS!A:C,3,0)</f>
        <v>Industrial</v>
      </c>
      <c r="M10" s="8"/>
      <c r="N10" s="9"/>
      <c r="O10" s="9"/>
      <c r="P10" s="137"/>
      <c r="Q10" s="137"/>
      <c r="S10" s="128" t="s">
        <v>102</v>
      </c>
      <c r="T10" s="129">
        <f t="shared" si="5"/>
        <v>0.20444326859235781</v>
      </c>
      <c r="U10" s="129">
        <f t="shared" si="6"/>
        <v>0.13678213542475753</v>
      </c>
      <c r="V10" s="129">
        <f t="shared" si="7"/>
        <v>0.20611111111111111</v>
      </c>
      <c r="W10" s="128" t="str" cm="1">
        <f t="array" ref="W10">IFERROR(INDEX(S$6:S$17, SMALL(IF(T$6:T$17&gt;0, ROW(S$6:S$17)-ROW(S$6)+1), ROW(A5))),$W$4)</f>
        <v>Financiero</v>
      </c>
      <c r="X10" s="129">
        <f t="shared" si="8"/>
        <v>0.20444326859235781</v>
      </c>
      <c r="Y10" s="129">
        <f t="shared" si="9"/>
        <v>0.13678213542475753</v>
      </c>
      <c r="Z10" s="129">
        <f t="shared" si="10"/>
        <v>0.20611111111111111</v>
      </c>
      <c r="AA10" s="118"/>
    </row>
    <row r="11" spans="2:27" ht="16.5" thickTop="1" thickBot="1" x14ac:dyDescent="0.5">
      <c r="B11" s="3" t="str" cm="1">
        <f t="array" ref="B11">IF(ROW(A6) &lt;= COUNTA(_xlfn._xlws.FILTER('Último rebalanceo'!B$7:B$45, ('Último rebalanceo'!$K$7:$K$45&gt;0)*ISNUMBER('Último rebalanceo'!$K$7:$K$45))),
INDEX(_xlfn._xlws.FILTER('Último rebalanceo'!B$7:$B$45, ('Último rebalanceo'!$K$7:$K$45&gt;0)*ISNUMBER('Último rebalanceo'!$K$7:$K$45)), ROW(A6)),
"0")</f>
        <v>TLEVISACPO</v>
      </c>
      <c r="C11" s="37" t="str">
        <f>VLOOKUP(B11,GICS!$A:$B,2,0)</f>
        <v>Grupo Televisa SAB CPO</v>
      </c>
      <c r="D11" s="108">
        <f>VLOOKUP($B11,'Último rebalanceo'!$B12:$K50,10,0)</f>
        <v>105</v>
      </c>
      <c r="E11" s="4">
        <f>VLOOKUP($B11,'Último rebalanceo'!$B12:$H50,4,0)</f>
        <v>15.705863472696883</v>
      </c>
      <c r="F11" s="5">
        <f t="shared" si="0"/>
        <v>1649.1156646331729</v>
      </c>
      <c r="G11" s="4">
        <f>VLOOKUP($B11,'Último rebalanceo'!$B12:$H50,7,0)</f>
        <v>9.9600000000000009</v>
      </c>
      <c r="H11" s="5">
        <f t="shared" si="1"/>
        <v>1045.8000000000002</v>
      </c>
      <c r="I11" s="5">
        <v>170.45</v>
      </c>
      <c r="J11" s="6">
        <f t="shared" si="4"/>
        <v>0.32515062321277588</v>
      </c>
      <c r="K11" s="6">
        <f t="shared" si="2"/>
        <v>2.3179951201555957E-2</v>
      </c>
      <c r="L11" s="120" t="str">
        <f>VLOOKUP(B11,GICS!A:C,3,0)</f>
        <v>Servicios de comunicación</v>
      </c>
      <c r="M11" s="8"/>
      <c r="N11" s="9"/>
      <c r="O11" s="9"/>
      <c r="P11" s="137"/>
      <c r="Q11" s="137"/>
      <c r="S11" s="128" t="s">
        <v>157</v>
      </c>
      <c r="T11" s="129">
        <f t="shared" si="5"/>
        <v>3.5066491869341784E-2</v>
      </c>
      <c r="U11" s="129">
        <f t="shared" si="6"/>
        <v>3.9417517823981049E-3</v>
      </c>
      <c r="V11" s="129">
        <f t="shared" si="7"/>
        <v>3.4791111111111113E-2</v>
      </c>
      <c r="W11" s="128" t="str" cm="1">
        <f t="array" ref="W11">IFERROR(INDEX(S$6:S$17, SMALL(IF(T$6:T$17&gt;0, ROW(S$6:S$17)-ROW(S$6)+1), ROW(A6))),$W$4)</f>
        <v>Cuidado de la salud</v>
      </c>
      <c r="X11" s="129">
        <f t="shared" si="8"/>
        <v>3.5066491869341784E-2</v>
      </c>
      <c r="Y11" s="129">
        <f t="shared" si="9"/>
        <v>3.9417517823981049E-3</v>
      </c>
      <c r="Z11" s="129">
        <f t="shared" si="10"/>
        <v>3.4791111111111113E-2</v>
      </c>
      <c r="AA11" s="118"/>
    </row>
    <row r="12" spans="2:27" ht="16.5" thickTop="1" thickBot="1" x14ac:dyDescent="0.5">
      <c r="B12" s="3" t="str" cm="1">
        <f t="array" ref="B12">IF(ROW(A7) &lt;= COUNTA(_xlfn._xlws.FILTER('Último rebalanceo'!B$7:B$45, ('Último rebalanceo'!$K$7:$K$45&gt;0)*ISNUMBER('Último rebalanceo'!$K$7:$K$45))),
INDEX(_xlfn._xlws.FILTER('Último rebalanceo'!B$7:$B$45, ('Último rebalanceo'!$K$7:$K$45&gt;0)*ISNUMBER('Último rebalanceo'!$K$7:$K$45)), ROW(A7)),
"0")</f>
        <v>CEMEXCPO</v>
      </c>
      <c r="C12" s="37" t="str">
        <f>VLOOKUP(B12,GICS!$A:$B,2,0)</f>
        <v>Cemex SA CPO</v>
      </c>
      <c r="D12" s="108">
        <f>VLOOKUP($B12,'Último rebalanceo'!$B13:$K51,10,0)</f>
        <v>73</v>
      </c>
      <c r="E12" s="4">
        <f>VLOOKUP($B12,'Último rebalanceo'!$B13:$H51,4,0)</f>
        <v>10.886807264820224</v>
      </c>
      <c r="F12" s="5">
        <f t="shared" si="0"/>
        <v>794.73693033187635</v>
      </c>
      <c r="G12" s="4">
        <f>VLOOKUP($B12,'Último rebalanceo'!$B13:$H51,7,0)</f>
        <v>21.45</v>
      </c>
      <c r="H12" s="5">
        <f t="shared" si="1"/>
        <v>1565.85</v>
      </c>
      <c r="I12" s="5">
        <v>11.695677344</v>
      </c>
      <c r="J12" s="6">
        <f t="shared" si="4"/>
        <v>1.0689535180071519</v>
      </c>
      <c r="K12" s="6">
        <f t="shared" si="2"/>
        <v>3.4706757113173059E-2</v>
      </c>
      <c r="L12" s="120" t="str">
        <f>VLOOKUP(B12,GICS!A:C,3,0)</f>
        <v>Materiales</v>
      </c>
      <c r="M12" s="8"/>
      <c r="N12" s="9"/>
      <c r="O12" s="9"/>
      <c r="P12" s="137"/>
      <c r="Q12" s="137"/>
      <c r="S12" s="128" t="s">
        <v>158</v>
      </c>
      <c r="T12" s="129">
        <f t="shared" si="5"/>
        <v>0</v>
      </c>
      <c r="U12" s="129">
        <f t="shared" si="6"/>
        <v>0</v>
      </c>
      <c r="V12" s="129">
        <f t="shared" si="7"/>
        <v>0</v>
      </c>
      <c r="W12" s="128" t="str" cm="1">
        <f t="array" ref="W12">IFERROR(INDEX(S$6:S$17, SMALL(IF(T$6:T$17&gt;0, ROW(S$6:S$17)-ROW(S$6)+1), ROW(A7))),$W$4)</f>
        <v>Inmobiliario</v>
      </c>
      <c r="X12" s="129">
        <f t="shared" si="8"/>
        <v>2.20513194218818E-2</v>
      </c>
      <c r="Y12" s="129">
        <f t="shared" si="9"/>
        <v>3.4321059442146307E-2</v>
      </c>
      <c r="Z12" s="129">
        <f t="shared" si="10"/>
        <v>2.0726666666666664E-2</v>
      </c>
      <c r="AA12" s="118"/>
    </row>
    <row r="13" spans="2:27" ht="16.5" thickTop="1" thickBot="1" x14ac:dyDescent="0.5">
      <c r="B13" s="3" t="str" cm="1">
        <f t="array" ref="B13">IF(ROW(A8) &lt;= COUNTA(_xlfn._xlws.FILTER('Último rebalanceo'!B$7:B$45, ('Último rebalanceo'!$K$7:$K$45&gt;0)*ISNUMBER('Último rebalanceo'!$K$7:$K$45))),
INDEX(_xlfn._xlws.FILTER('Último rebalanceo'!B$7:$B$45, ('Último rebalanceo'!$K$7:$K$45&gt;0)*ISNUMBER('Último rebalanceo'!$K$7:$K$45)), ROW(A8)),
"0")</f>
        <v>PINFRA</v>
      </c>
      <c r="C13" s="37" t="str">
        <f>VLOOKUP(B13,GICS!$A:$B,2,0)</f>
        <v>Promotora y Operadora de Infraestructura SAB de CV</v>
      </c>
      <c r="D13" s="108">
        <f>VLOOKUP($B13,'Último rebalanceo'!$B14:$K52,10,0)</f>
        <v>5</v>
      </c>
      <c r="E13" s="4">
        <f>VLOOKUP($B13,'Último rebalanceo'!$B14:$H52,4,0)</f>
        <v>142.14872741699222</v>
      </c>
      <c r="F13" s="5">
        <f t="shared" si="0"/>
        <v>710.74363708496105</v>
      </c>
      <c r="G13" s="4">
        <f>VLOOKUP($B13,'Último rebalanceo'!$B14:$H52,7,0)</f>
        <v>276.60000000000002</v>
      </c>
      <c r="H13" s="5">
        <f t="shared" si="1"/>
        <v>1383</v>
      </c>
      <c r="I13" s="5">
        <v>144.40904119999999</v>
      </c>
      <c r="J13" s="6">
        <f t="shared" si="4"/>
        <v>0.9529960351592448</v>
      </c>
      <c r="K13" s="6">
        <f t="shared" si="2"/>
        <v>3.0653922845431135E-2</v>
      </c>
      <c r="L13" s="120" t="str">
        <f>VLOOKUP(B13,GICS!A:C,3,0)</f>
        <v>Industrial</v>
      </c>
      <c r="M13" s="8"/>
      <c r="N13" s="9"/>
      <c r="O13" s="9"/>
      <c r="P13" s="137"/>
      <c r="Q13" s="137"/>
      <c r="S13" s="128" t="s">
        <v>143</v>
      </c>
      <c r="T13" s="129">
        <f t="shared" si="5"/>
        <v>2.20513194218818E-2</v>
      </c>
      <c r="U13" s="129">
        <f t="shared" si="6"/>
        <v>3.4321059442146307E-2</v>
      </c>
      <c r="V13" s="129">
        <f t="shared" si="7"/>
        <v>2.0726666666666664E-2</v>
      </c>
      <c r="W13" s="128" t="str" cm="1">
        <f t="array" ref="W13">IFERROR(INDEX(S$6:S$17, SMALL(IF(T$6:T$17&gt;0, ROW(S$6:S$17)-ROW(S$6)+1), ROW(A8))),$W$4)</f>
        <v>Servicios de comunicación</v>
      </c>
      <c r="X13" s="129">
        <f t="shared" si="8"/>
        <v>7.0776206327963706E-2</v>
      </c>
      <c r="Y13" s="129">
        <f t="shared" si="9"/>
        <v>8.4348778059038759E-2</v>
      </c>
      <c r="Z13" s="129">
        <f t="shared" si="10"/>
        <v>7.0701666666666677E-2</v>
      </c>
      <c r="AA13" s="118"/>
    </row>
    <row r="14" spans="2:27" ht="16.5" thickTop="1" thickBot="1" x14ac:dyDescent="0.5">
      <c r="B14" s="3" t="str" cm="1">
        <f t="array" ref="B14">IF(ROW(A9) &lt;= COUNTA(_xlfn._xlws.FILTER('Último rebalanceo'!B$7:B$45, ('Último rebalanceo'!$K$7:$K$45&gt;0)*ISNUMBER('Último rebalanceo'!$K$7:$K$45))),
INDEX(_xlfn._xlws.FILTER('Último rebalanceo'!B$7:$B$45, ('Último rebalanceo'!$K$7:$K$45&gt;0)*ISNUMBER('Último rebalanceo'!$K$7:$K$45)), ROW(A9)),
"0")</f>
        <v>GMEXICOB</v>
      </c>
      <c r="C14" s="37" t="str">
        <f>VLOOKUP(B14,GICS!$A:$B,2,0)</f>
        <v>Grupo Mexico SAB de CV B</v>
      </c>
      <c r="D14" s="108">
        <f>VLOOKUP($B14,'Último rebalanceo'!$B15:$K53,10,0)</f>
        <v>12</v>
      </c>
      <c r="E14" s="4">
        <f>VLOOKUP($B14,'Último rebalanceo'!$B15:$H53,4,0)</f>
        <v>75.837009429931641</v>
      </c>
      <c r="F14" s="5">
        <f t="shared" si="0"/>
        <v>910.04411315917969</v>
      </c>
      <c r="G14" s="4">
        <f>VLOOKUP($B14,'Último rebalanceo'!$B15:$H53,7,0)</f>
        <v>191.2</v>
      </c>
      <c r="H14" s="5">
        <f t="shared" si="1"/>
        <v>2294.3999999999996</v>
      </c>
      <c r="I14" s="5">
        <v>256.60000000000002</v>
      </c>
      <c r="J14" s="6">
        <f t="shared" si="4"/>
        <v>1.5658128360332246</v>
      </c>
      <c r="K14" s="6">
        <f t="shared" si="2"/>
        <v>5.0854924494979886E-2</v>
      </c>
      <c r="L14" s="120" t="str">
        <f>VLOOKUP(B14,GICS!A:C,3,0)</f>
        <v>Materiales</v>
      </c>
      <c r="M14" s="8"/>
      <c r="N14" s="9"/>
      <c r="O14" s="9"/>
      <c r="P14" s="137"/>
      <c r="Q14" s="137"/>
      <c r="S14" s="128" t="s">
        <v>159</v>
      </c>
      <c r="T14" s="129">
        <f t="shared" si="5"/>
        <v>0</v>
      </c>
      <c r="U14" s="129">
        <f t="shared" si="6"/>
        <v>0</v>
      </c>
      <c r="V14" s="129">
        <f t="shared" si="7"/>
        <v>0</v>
      </c>
      <c r="W14" s="128" t="str" cm="1">
        <f t="array" ref="W14">IFERROR(INDEX(S$6:S$17, SMALL(IF(T$6:T$17&gt;0, ROW(S$6:S$17)-ROW(S$6)+1), ROW(A9))),$W$4)</f>
        <v>Efectivo</v>
      </c>
      <c r="X14" s="129">
        <f t="shared" si="8"/>
        <v>9.5143460237950821E-3</v>
      </c>
      <c r="Y14" s="129">
        <f t="shared" si="9"/>
        <v>1.1484676678648113E-2</v>
      </c>
      <c r="Z14" s="129">
        <f t="shared" si="10"/>
        <v>-2.2583333333334142E-3</v>
      </c>
      <c r="AA14" s="118"/>
    </row>
    <row r="15" spans="2:27" ht="16.5" thickTop="1" thickBot="1" x14ac:dyDescent="0.5">
      <c r="B15" s="3" t="str" cm="1">
        <f t="array" ref="B15">IF(ROW(A10) &lt;= COUNTA(_xlfn._xlws.FILTER('Último rebalanceo'!B$7:B$45, ('Último rebalanceo'!$K$7:$K$45&gt;0)*ISNUMBER('Último rebalanceo'!$K$7:$K$45))),
INDEX(_xlfn._xlws.FILTER('Último rebalanceo'!B$7:$B$45, ('Último rebalanceo'!$K$7:$K$45&gt;0)*ISNUMBER('Último rebalanceo'!$K$7:$K$45)), ROW(A10)),
"0")</f>
        <v>AC</v>
      </c>
      <c r="C15" s="37" t="str">
        <f>VLOOKUP(B15,GICS!$A:$B,2,0)</f>
        <v>Arca Continental, SAB de CV</v>
      </c>
      <c r="D15" s="108">
        <f>VLOOKUP($B15,'Último rebalanceo'!$B16:$K54,10,0)</f>
        <v>5</v>
      </c>
      <c r="E15" s="4">
        <f>VLOOKUP($B15,'Último rebalanceo'!$B16:$H54,4,0)</f>
        <v>145.40785159628908</v>
      </c>
      <c r="F15" s="5">
        <f t="shared" si="0"/>
        <v>727.03925798144542</v>
      </c>
      <c r="G15" s="4">
        <f>VLOOKUP($B15,'Último rebalanceo'!$B16:$H54,7,0)</f>
        <v>209.87</v>
      </c>
      <c r="H15" s="5">
        <f t="shared" si="1"/>
        <v>1049.3499999999999</v>
      </c>
      <c r="I15" s="5">
        <v>116.84000000000002</v>
      </c>
      <c r="J15" s="6">
        <f t="shared" si="4"/>
        <v>0.44884564786283976</v>
      </c>
      <c r="K15" s="6">
        <f t="shared" si="2"/>
        <v>2.3258636252966855E-2</v>
      </c>
      <c r="L15" s="120" t="str">
        <f>VLOOKUP(B15,GICS!A:C,3,0)</f>
        <v>Consumo básico</v>
      </c>
      <c r="M15" s="8"/>
      <c r="N15" s="9"/>
      <c r="O15" s="9"/>
      <c r="P15" s="137"/>
      <c r="Q15" s="137"/>
      <c r="S15" s="128" t="s">
        <v>160</v>
      </c>
      <c r="T15" s="129">
        <f t="shared" si="5"/>
        <v>0</v>
      </c>
      <c r="U15" s="129">
        <f t="shared" si="6"/>
        <v>0</v>
      </c>
      <c r="V15" s="129">
        <f t="shared" si="7"/>
        <v>0</v>
      </c>
      <c r="W15" s="128" t="str" cm="1">
        <f t="array" ref="W15">IFERROR(INDEX(S$6:S$17, SMALL(IF(T$6:T$17&gt;0, ROW(S$6:S$17)-ROW(S$6)+1), ROW(A10))),$W$4)</f>
        <v>#NA</v>
      </c>
      <c r="X15" s="129" t="e">
        <f t="shared" si="8"/>
        <v>#N/A</v>
      </c>
      <c r="Y15" s="129" t="e">
        <f t="shared" si="9"/>
        <v>#N/A</v>
      </c>
      <c r="Z15" s="129" t="e">
        <f t="shared" si="10"/>
        <v>#N/A</v>
      </c>
      <c r="AA15" s="118"/>
    </row>
    <row r="16" spans="2:27" ht="16.5" thickTop="1" thickBot="1" x14ac:dyDescent="0.5">
      <c r="B16" s="3" t="str" cm="1">
        <f t="array" ref="B16">IF(ROW(A11) &lt;= COUNTA(_xlfn._xlws.FILTER('Último rebalanceo'!B$7:B$45, ('Último rebalanceo'!$K$7:$K$45&gt;0)*ISNUMBER('Último rebalanceo'!$K$7:$K$45))),
INDEX(_xlfn._xlws.FILTER('Último rebalanceo'!B$7:$B$45, ('Último rebalanceo'!$K$7:$K$45&gt;0)*ISNUMBER('Último rebalanceo'!$K$7:$K$45)), ROW(A11)),
"0")</f>
        <v>FEMSAUBD</v>
      </c>
      <c r="C16" s="37" t="str">
        <f>VLOOKUP(B16,GICS!$A:$B,2,0)</f>
        <v>Fomento Economico Mexicano S.A.B. de C.V.</v>
      </c>
      <c r="D16" s="108">
        <f>VLOOKUP($B16,'Último rebalanceo'!$B17:$K55,10,0)</f>
        <v>4</v>
      </c>
      <c r="E16" s="4">
        <f>VLOOKUP($B16,'Último rebalanceo'!$B17:$H55,4,0)</f>
        <v>173.36246256510415</v>
      </c>
      <c r="F16" s="5">
        <f t="shared" si="0"/>
        <v>693.44985026041661</v>
      </c>
      <c r="G16" s="4">
        <f>VLOOKUP($B16,'Último rebalanceo'!$B17:$H55,7,0)</f>
        <v>206.45</v>
      </c>
      <c r="H16" s="5">
        <f t="shared" si="1"/>
        <v>825.8</v>
      </c>
      <c r="I16" s="5">
        <v>120.70435000000001</v>
      </c>
      <c r="J16" s="6">
        <f t="shared" si="4"/>
        <v>0.19487374127725832</v>
      </c>
      <c r="K16" s="6">
        <f t="shared" si="2"/>
        <v>1.8303694494401324E-2</v>
      </c>
      <c r="L16" s="120" t="str">
        <f>VLOOKUP(B16,GICS!A:C,3,0)</f>
        <v>Consumo discrecional</v>
      </c>
      <c r="M16" s="8"/>
      <c r="N16" s="9"/>
      <c r="O16" s="9"/>
      <c r="P16" s="137"/>
      <c r="Q16" s="137"/>
      <c r="S16" s="128" t="s">
        <v>54</v>
      </c>
      <c r="T16" s="129">
        <f t="shared" si="5"/>
        <v>7.0776206327963706E-2</v>
      </c>
      <c r="U16" s="129">
        <f t="shared" si="6"/>
        <v>8.4348778059038759E-2</v>
      </c>
      <c r="V16" s="129">
        <f t="shared" si="7"/>
        <v>7.0701666666666677E-2</v>
      </c>
      <c r="W16" s="128" t="str" cm="1">
        <f t="array" ref="W16">IFERROR(INDEX(S$6:S$17, SMALL(IF(T$6:T$17&gt;0, ROW(S$6:S$17)-ROW(S$6)+1), ROW(A11))),$W$4)</f>
        <v>#NA</v>
      </c>
      <c r="X16" s="129" t="e">
        <f t="shared" si="8"/>
        <v>#N/A</v>
      </c>
      <c r="Y16" s="129" t="e">
        <f t="shared" si="9"/>
        <v>#N/A</v>
      </c>
      <c r="Z16" s="129" t="e">
        <f t="shared" si="10"/>
        <v>#N/A</v>
      </c>
      <c r="AA16" s="118"/>
    </row>
    <row r="17" spans="2:27" ht="16.5" thickTop="1" thickBot="1" x14ac:dyDescent="0.5">
      <c r="B17" s="3" t="str" cm="1">
        <f t="array" ref="B17">IF(ROW(A12) &lt;= COUNTA(_xlfn._xlws.FILTER('Último rebalanceo'!B$7:B$45, ('Último rebalanceo'!$K$7:$K$45&gt;0)*ISNUMBER('Último rebalanceo'!$K$7:$K$45))),
INDEX(_xlfn._xlws.FILTER('Último rebalanceo'!B$7:$B$45, ('Último rebalanceo'!$K$7:$K$45&gt;0)*ISNUMBER('Último rebalanceo'!$K$7:$K$45)), ROW(A12)),
"0")</f>
        <v>AMXB</v>
      </c>
      <c r="C17" s="37" t="str">
        <f>VLOOKUP(B17,GICS!$A:$B,2,0)</f>
        <v>America Movil SAB de CV B</v>
      </c>
      <c r="D17" s="108">
        <f>VLOOKUP($B17,'Último rebalanceo'!$B18:$K56,10,0)</f>
        <v>53</v>
      </c>
      <c r="E17" s="4">
        <f>VLOOKUP($B17,'Último rebalanceo'!$B18:$H56,4,0)</f>
        <v>17.89131815760463</v>
      </c>
      <c r="F17" s="5">
        <f t="shared" si="0"/>
        <v>948.2398623530454</v>
      </c>
      <c r="G17" s="4">
        <f>VLOOKUP($B17,'Último rebalanceo'!$B18:$H56,7,0)</f>
        <v>23.21</v>
      </c>
      <c r="H17" s="5">
        <f t="shared" si="1"/>
        <v>1230.1300000000001</v>
      </c>
      <c r="I17" s="5">
        <v>50.919999999999995</v>
      </c>
      <c r="J17" s="6">
        <f t="shared" si="4"/>
        <v>0.45635290300100695</v>
      </c>
      <c r="K17" s="6">
        <f t="shared" si="2"/>
        <v>2.7265589378055101E-2</v>
      </c>
      <c r="L17" s="120" t="str">
        <f>VLOOKUP(B17,GICS!A:C,3,0)</f>
        <v>Servicios de comunicación</v>
      </c>
      <c r="M17" s="8"/>
      <c r="N17" s="9"/>
      <c r="O17" s="9"/>
      <c r="P17" s="137"/>
      <c r="Q17" s="137"/>
      <c r="S17" s="128" t="s">
        <v>56</v>
      </c>
      <c r="T17" s="129">
        <f>SUMIF($L$6:$L$41,S17,$K$6:$K$41)</f>
        <v>9.5143460237950821E-3</v>
      </c>
      <c r="U17" s="129">
        <f>SUMIF($L$6:$L$41,$S17,$K$54:$K$89)</f>
        <v>1.1484676678648113E-2</v>
      </c>
      <c r="V17" s="129">
        <f>SUMIF($L$6:$L$41,$S17,$I$101:$I$136)</f>
        <v>-2.2583333333334142E-3</v>
      </c>
      <c r="W17" s="128" t="str" cm="1">
        <f t="array" ref="W17">IFERROR(INDEX(S$6:S$17, SMALL(IF(T$6:T$17&gt;0, ROW(S$6:S$17)-ROW(S$6)+1), ROW(A12))),$W$4)</f>
        <v>#NA</v>
      </c>
      <c r="X17" s="129" t="e">
        <f t="shared" si="8"/>
        <v>#N/A</v>
      </c>
      <c r="Y17" s="129" t="e">
        <f t="shared" si="9"/>
        <v>#N/A</v>
      </c>
      <c r="Z17" s="129" t="e">
        <f t="shared" si="10"/>
        <v>#N/A</v>
      </c>
      <c r="AA17" s="118"/>
    </row>
    <row r="18" spans="2:27" ht="16.5" thickTop="1" thickBot="1" x14ac:dyDescent="0.5">
      <c r="B18" s="3" t="str" cm="1">
        <f t="array" ref="B18">IF(ROW(A13) &lt;= COUNTA(_xlfn._xlws.FILTER('Último rebalanceo'!B$7:B$45, ('Último rebalanceo'!$K$7:$K$45&gt;0)*ISNUMBER('Último rebalanceo'!$K$7:$K$45))),
INDEX(_xlfn._xlws.FILTER('Último rebalanceo'!B$7:$B$45, ('Último rebalanceo'!$K$7:$K$45&gt;0)*ISNUMBER('Último rebalanceo'!$K$7:$K$45)), ROW(A13)),
"0")</f>
        <v>KOFUBL</v>
      </c>
      <c r="C18" s="37" t="str">
        <f>VLOOKUP(B18,GICS!$A:$B,2,0)</f>
        <v>Coca-Cola Femsa SAB de CV UBL</v>
      </c>
      <c r="D18" s="108">
        <f>VLOOKUP($B18,'Último rebalanceo'!$B19:$K57,10,0)</f>
        <v>5</v>
      </c>
      <c r="E18" s="4">
        <f>VLOOKUP($B18,'Último rebalanceo'!$B19:$H57,4,0)</f>
        <v>124.75869461059571</v>
      </c>
      <c r="F18" s="5">
        <f t="shared" si="0"/>
        <v>623.79347305297858</v>
      </c>
      <c r="G18" s="4">
        <f>VLOOKUP($B18,'Último rebalanceo'!$B19:$H57,7,0)</f>
        <v>176.96</v>
      </c>
      <c r="H18" s="5">
        <f t="shared" si="1"/>
        <v>884.80000000000007</v>
      </c>
      <c r="I18" s="5">
        <v>127.69</v>
      </c>
      <c r="J18" s="6">
        <f t="shared" si="4"/>
        <v>0.42662197898073639</v>
      </c>
      <c r="K18" s="6">
        <f t="shared" si="2"/>
        <v>1.9611417884047341E-2</v>
      </c>
      <c r="L18" s="120" t="str">
        <f>VLOOKUP(B18,GICS!A:C,3,0)</f>
        <v>Consumo básico</v>
      </c>
      <c r="M18" s="8"/>
      <c r="N18" s="9"/>
      <c r="O18" s="9"/>
      <c r="P18" s="137"/>
      <c r="Q18" s="137"/>
      <c r="T18" s="98"/>
      <c r="U18" s="98"/>
      <c r="V18" s="98"/>
    </row>
    <row r="19" spans="2:27" ht="16.5" thickTop="1" thickBot="1" x14ac:dyDescent="0.5">
      <c r="B19" s="3" t="str" cm="1">
        <f t="array" ref="B19">IF(ROW(A14) &lt;= COUNTA(_xlfn._xlws.FILTER('Último rebalanceo'!B$7:B$45, ('Último rebalanceo'!$K$7:$K$45&gt;0)*ISNUMBER('Último rebalanceo'!$K$7:$K$45))),
INDEX(_xlfn._xlws.FILTER('Último rebalanceo'!B$7:$B$45, ('Último rebalanceo'!$K$7:$K$45&gt;0)*ISNUMBER('Último rebalanceo'!$K$7:$K$45)), ROW(A14)),
"0")</f>
        <v>ALSEA</v>
      </c>
      <c r="C19" s="37" t="str">
        <f>VLOOKUP(B19,GICS!$A:$B,2,0)</f>
        <v>Alsea SA</v>
      </c>
      <c r="D19" s="108">
        <f>VLOOKUP($B19,'Último rebalanceo'!$B20:$K58,10,0)</f>
        <v>20</v>
      </c>
      <c r="E19" s="4">
        <f>VLOOKUP($B19,'Último rebalanceo'!$B20:$H58,4,0)</f>
        <v>44.863605736849273</v>
      </c>
      <c r="F19" s="5">
        <f t="shared" si="0"/>
        <v>897.27211473698549</v>
      </c>
      <c r="G19" s="4">
        <f>VLOOKUP($B19,'Último rebalanceo'!$B20:$H58,7,0)</f>
        <v>51.42</v>
      </c>
      <c r="H19" s="5">
        <f t="shared" si="1"/>
        <v>1028.4000000000001</v>
      </c>
      <c r="I19" s="5">
        <v>24.689798</v>
      </c>
      <c r="J19" s="6">
        <f t="shared" si="4"/>
        <v>0.1584073407852673</v>
      </c>
      <c r="K19" s="6">
        <f t="shared" si="2"/>
        <v>2.2794283625626452E-2</v>
      </c>
      <c r="L19" s="120" t="str">
        <f>VLOOKUP(B19,GICS!A:C,3,0)</f>
        <v>Consumo discrecional</v>
      </c>
      <c r="M19" s="8"/>
      <c r="N19" s="9"/>
      <c r="O19" s="9"/>
      <c r="P19" s="137"/>
      <c r="Q19" s="137"/>
      <c r="T19" s="98"/>
      <c r="U19" s="98"/>
      <c r="V19" s="98"/>
    </row>
    <row r="20" spans="2:27" ht="16.5" thickTop="1" thickBot="1" x14ac:dyDescent="0.5">
      <c r="B20" s="3" t="str" cm="1">
        <f t="array" ref="B20">IF(ROW(A15) &lt;= COUNTA(_xlfn._xlws.FILTER('Último rebalanceo'!B$7:B$45, ('Último rebalanceo'!$K$7:$K$45&gt;0)*ISNUMBER('Último rebalanceo'!$K$7:$K$45))),
INDEX(_xlfn._xlws.FILTER('Último rebalanceo'!B$7:$B$45, ('Último rebalanceo'!$K$7:$K$45&gt;0)*ISNUMBER('Último rebalanceo'!$K$7:$K$45)), ROW(A15)),
"0")</f>
        <v>GRUMAB</v>
      </c>
      <c r="C20" s="37" t="str">
        <f>VLOOKUP(B20,GICS!$A:$B,2,0)</f>
        <v>Gruma SAB B</v>
      </c>
      <c r="D20" s="108">
        <f>VLOOKUP($B20,'Último rebalanceo'!$B21:$K59,10,0)</f>
        <v>3</v>
      </c>
      <c r="E20" s="4">
        <f>VLOOKUP($B20,'Último rebalanceo'!$B21:$H59,4,0)</f>
        <v>225.28848266601563</v>
      </c>
      <c r="F20" s="5">
        <f t="shared" si="0"/>
        <v>675.86544799804688</v>
      </c>
      <c r="G20" s="4">
        <f>VLOOKUP($B20,'Último rebalanceo'!$B21:$H59,7,0)</f>
        <v>303.16000000000003</v>
      </c>
      <c r="H20" s="5">
        <f t="shared" si="1"/>
        <v>909.48</v>
      </c>
      <c r="I20" s="5">
        <v>45.8</v>
      </c>
      <c r="J20" s="6">
        <f t="shared" si="4"/>
        <v>0.34655483188505776</v>
      </c>
      <c r="K20" s="6">
        <f t="shared" si="2"/>
        <v>2.0158445227377232E-2</v>
      </c>
      <c r="L20" s="120" t="str">
        <f>VLOOKUP(B20,GICS!A:C,3,0)</f>
        <v>Consumo básico</v>
      </c>
      <c r="M20" s="8"/>
      <c r="N20" s="9"/>
      <c r="O20" s="9"/>
      <c r="P20" s="137"/>
      <c r="Q20" s="137"/>
      <c r="T20" s="98"/>
      <c r="U20" s="98"/>
      <c r="V20" s="98"/>
    </row>
    <row r="21" spans="2:27" ht="16.5" thickTop="1" thickBot="1" x14ac:dyDescent="0.5">
      <c r="B21" s="3" t="str" cm="1">
        <f t="array" ref="B21">IF(ROW(A16) &lt;= COUNTA(_xlfn._xlws.FILTER('Último rebalanceo'!B$7:B$45, ('Último rebalanceo'!$K$7:$K$45&gt;0)*ISNUMBER('Último rebalanceo'!$K$7:$K$45))),
INDEX(_xlfn._xlws.FILTER('Último rebalanceo'!B$7:$B$45, ('Último rebalanceo'!$K$7:$K$45&gt;0)*ISNUMBER('Último rebalanceo'!$K$7:$K$45)), ROW(A16)),
"0")</f>
        <v>ASURB</v>
      </c>
      <c r="C21" s="37" t="str">
        <f>VLOOKUP(B21,GICS!$A:$B,2,0)</f>
        <v>Grupo Aeroportuario del Sureste SAB de CV B</v>
      </c>
      <c r="D21" s="108">
        <f>VLOOKUP($B21,'Último rebalanceo'!$B22:$K60,10,0)</f>
        <v>2</v>
      </c>
      <c r="E21" s="4">
        <f>VLOOKUP($B21,'Último rebalanceo'!$B22:$H60,4,0)</f>
        <v>366.07857259114581</v>
      </c>
      <c r="F21" s="5">
        <f t="shared" si="0"/>
        <v>732.15714518229163</v>
      </c>
      <c r="G21" s="4">
        <f>VLOOKUP($B21,'Último rebalanceo'!$B22:$H60,7,0)</f>
        <v>532.34</v>
      </c>
      <c r="H21" s="5">
        <f t="shared" si="1"/>
        <v>1064.68</v>
      </c>
      <c r="I21" s="5">
        <v>281.92613</v>
      </c>
      <c r="J21" s="6">
        <f t="shared" si="4"/>
        <v>0.45627240859663787</v>
      </c>
      <c r="K21" s="6">
        <f t="shared" si="2"/>
        <v>2.3598422686242678E-2</v>
      </c>
      <c r="L21" s="120" t="str">
        <f>VLOOKUP(B21,GICS!A:C,3,0)</f>
        <v>Industrial</v>
      </c>
      <c r="M21" s="8"/>
      <c r="N21" s="9"/>
      <c r="O21" s="9"/>
      <c r="P21" s="137"/>
      <c r="Q21" s="137"/>
      <c r="T21" s="98"/>
      <c r="U21" s="98"/>
      <c r="V21" s="98"/>
    </row>
    <row r="22" spans="2:27" ht="16.5" thickTop="1" thickBot="1" x14ac:dyDescent="0.5">
      <c r="B22" s="3" t="str" cm="1">
        <f t="array" ref="B22">IF(ROW(A17) &lt;= COUNTA(_xlfn._xlws.FILTER('Último rebalanceo'!B$7:B$45, ('Último rebalanceo'!$K$7:$K$45&gt;0)*ISNUMBER('Último rebalanceo'!$K$7:$K$45))),
INDEX(_xlfn._xlws.FILTER('Último rebalanceo'!B$7:$B$45, ('Último rebalanceo'!$K$7:$K$45&gt;0)*ISNUMBER('Último rebalanceo'!$K$7:$K$45)), ROW(A17)),
"0")</f>
        <v>BIMBOA</v>
      </c>
      <c r="C22" s="37" t="str">
        <f>VLOOKUP(B22,GICS!$A:$B,2,0)</f>
        <v>Grupo Bimbo S.A.B.</v>
      </c>
      <c r="D22" s="108">
        <f>VLOOKUP($B22,'Último rebalanceo'!$B23:$K61,10,0)</f>
        <v>23</v>
      </c>
      <c r="E22" s="4">
        <f>VLOOKUP($B22,'Último rebalanceo'!$B23:$H61,4,0)</f>
        <v>62.03131586013567</v>
      </c>
      <c r="F22" s="5">
        <f t="shared" si="0"/>
        <v>1426.7202647831205</v>
      </c>
      <c r="G22" s="4">
        <f>VLOOKUP($B22,'Último rebalanceo'!$B23:$H61,7,0)</f>
        <v>59.48</v>
      </c>
      <c r="H22" s="5">
        <f t="shared" si="1"/>
        <v>1368.04</v>
      </c>
      <c r="I22" s="5">
        <v>54.5</v>
      </c>
      <c r="J22" s="6">
        <f t="shared" si="4"/>
        <v>-2.6965853442022514E-2</v>
      </c>
      <c r="K22" s="6">
        <f t="shared" si="2"/>
        <v>3.032233738934462E-2</v>
      </c>
      <c r="L22" s="120" t="str">
        <f>VLOOKUP(B22,GICS!A:C,3,0)</f>
        <v>Consumo básico</v>
      </c>
      <c r="M22" s="8"/>
      <c r="N22" s="9"/>
      <c r="O22" s="9"/>
      <c r="P22" s="137"/>
      <c r="Q22" s="137"/>
      <c r="T22" s="98"/>
      <c r="U22" s="98"/>
      <c r="V22" s="98"/>
    </row>
    <row r="23" spans="2:27" ht="16.5" thickTop="1" thickBot="1" x14ac:dyDescent="0.5">
      <c r="B23" s="3" t="str" cm="1">
        <f t="array" ref="B23">IF(ROW(A18) &lt;= COUNTA(_xlfn._xlws.FILTER('Último rebalanceo'!B$7:B$45, ('Último rebalanceo'!$K$7:$K$45&gt;0)*ISNUMBER('Último rebalanceo'!$K$7:$K$45))),
INDEX(_xlfn._xlws.FILTER('Último rebalanceo'!B$7:$B$45, ('Último rebalanceo'!$K$7:$K$45&gt;0)*ISNUMBER('Último rebalanceo'!$K$7:$K$45)), ROW(A18)),
"0")</f>
        <v>PE&amp;OLES</v>
      </c>
      <c r="C23" s="37" t="str">
        <f>VLOOKUP(B23,GICS!$A:$B,2,0)</f>
        <v>Industrias Penoles</v>
      </c>
      <c r="D23" s="108">
        <f>VLOOKUP($B23,'Último rebalanceo'!$B24:$K62,10,0)</f>
        <v>2</v>
      </c>
      <c r="E23" s="4">
        <f>VLOOKUP($B23,'Último rebalanceo'!$B24:$H62,4,0)</f>
        <v>261.60172780354816</v>
      </c>
      <c r="F23" s="5">
        <f t="shared" si="0"/>
        <v>523.20345560709632</v>
      </c>
      <c r="G23" s="4">
        <f>VLOOKUP($B23,'Último rebalanceo'!$B24:$H62,7,0)</f>
        <v>880.7</v>
      </c>
      <c r="H23" s="5">
        <f t="shared" si="1"/>
        <v>1761.4</v>
      </c>
      <c r="I23" s="5">
        <v>0.37739999999999996</v>
      </c>
      <c r="J23" s="6">
        <f t="shared" si="4"/>
        <v>2.3665734933998284</v>
      </c>
      <c r="K23" s="6">
        <f t="shared" si="2"/>
        <v>3.9041084381737097E-2</v>
      </c>
      <c r="L23" s="120" t="str">
        <f>VLOOKUP(B23,GICS!A:C,3,0)</f>
        <v>Materiales</v>
      </c>
      <c r="M23" s="8"/>
      <c r="N23" s="9"/>
      <c r="O23" s="9"/>
      <c r="P23" s="137"/>
      <c r="Q23" s="137"/>
      <c r="T23" s="98"/>
      <c r="U23" s="98"/>
      <c r="V23" s="98"/>
    </row>
    <row r="24" spans="2:27" ht="16.5" thickTop="1" thickBot="1" x14ac:dyDescent="0.5">
      <c r="B24" s="3" t="str" cm="1">
        <f t="array" ref="B24">IF(ROW(A19) &lt;= COUNTA(_xlfn._xlws.FILTER('Último rebalanceo'!B$7:B$45, ('Último rebalanceo'!$K$7:$K$45&gt;0)*ISNUMBER('Último rebalanceo'!$K$7:$K$45))),
INDEX(_xlfn._xlws.FILTER('Último rebalanceo'!B$7:$B$45, ('Último rebalanceo'!$K$7:$K$45&gt;0)*ISNUMBER('Último rebalanceo'!$K$7:$K$45)), ROW(A19)),
"0")</f>
        <v>BBAJIOO</v>
      </c>
      <c r="C24" s="37" t="str">
        <f>VLOOKUP(B24,GICS!$A:$B,2,0)</f>
        <v>Banco del Bajio, S.A.</v>
      </c>
      <c r="D24" s="108">
        <f>VLOOKUP($B24,'Último rebalanceo'!$B25:$K63,10,0)</f>
        <v>26</v>
      </c>
      <c r="E24" s="4">
        <f>VLOOKUP($B24,'Último rebalanceo'!$B25:$H63,4,0)</f>
        <v>39.455265540501649</v>
      </c>
      <c r="F24" s="5">
        <f t="shared" si="0"/>
        <v>1025.8369040530429</v>
      </c>
      <c r="G24" s="4">
        <f>VLOOKUP($B24,'Último rebalanceo'!$B25:$H63,7,0)</f>
        <v>54.68</v>
      </c>
      <c r="H24" s="5">
        <f t="shared" si="1"/>
        <v>1421.68</v>
      </c>
      <c r="I24" s="5">
        <v>546.32011599999998</v>
      </c>
      <c r="J24" s="6">
        <f t="shared" si="4"/>
        <v>0.7368168624317124</v>
      </c>
      <c r="K24" s="6">
        <f t="shared" si="2"/>
        <v>3.1511257433761777E-2</v>
      </c>
      <c r="L24" s="120" t="str">
        <f>VLOOKUP(B24,GICS!A:C,3,0)</f>
        <v>Financiero</v>
      </c>
      <c r="M24" s="8"/>
      <c r="N24" s="9"/>
      <c r="O24" s="9"/>
      <c r="P24" s="137"/>
      <c r="Q24" s="137"/>
      <c r="T24" s="98"/>
      <c r="U24" s="98"/>
      <c r="V24" s="98"/>
    </row>
    <row r="25" spans="2:27" ht="16.5" thickTop="1" thickBot="1" x14ac:dyDescent="0.5">
      <c r="B25" s="3" t="str" cm="1">
        <f t="array" ref="B25">IF(ROW(A20) &lt;= COUNTA(_xlfn._xlws.FILTER('Último rebalanceo'!B$7:B$45, ('Último rebalanceo'!$K$7:$K$45&gt;0)*ISNUMBER('Último rebalanceo'!$K$7:$K$45))),
INDEX(_xlfn._xlws.FILTER('Último rebalanceo'!B$7:$B$45, ('Último rebalanceo'!$K$7:$K$45&gt;0)*ISNUMBER('Último rebalanceo'!$K$7:$K$45)), ROW(A20)),
"0")</f>
        <v>BOLSAA</v>
      </c>
      <c r="C25" s="37" t="str">
        <f>VLOOKUP(B25,GICS!$A:$B,2,0)</f>
        <v>Bolsa Mexicana de Valores SA de CV</v>
      </c>
      <c r="D25" s="108">
        <f>VLOOKUP($B25,'Último rebalanceo'!$B26:$K64,10,0)</f>
        <v>31</v>
      </c>
      <c r="E25" s="4">
        <f>VLOOKUP($B25,'Último rebalanceo'!$B26:$H64,4,0)</f>
        <v>32.440134892927055</v>
      </c>
      <c r="F25" s="5">
        <f t="shared" si="0"/>
        <v>1005.6441816807387</v>
      </c>
      <c r="G25" s="4">
        <f>VLOOKUP($B25,'Último rebalanceo'!$B26:$H64,7,0)</f>
        <v>39.35</v>
      </c>
      <c r="H25" s="5">
        <f t="shared" si="1"/>
        <v>1219.8500000000001</v>
      </c>
      <c r="I25" s="5">
        <v>178.48</v>
      </c>
      <c r="J25" s="6">
        <f t="shared" si="4"/>
        <v>0.38260296508081071</v>
      </c>
      <c r="K25" s="6">
        <f t="shared" si="2"/>
        <v>2.7037735201011697E-2</v>
      </c>
      <c r="L25" s="120" t="str">
        <f>VLOOKUP(B25,GICS!A:C,3,0)</f>
        <v>Financiero</v>
      </c>
      <c r="M25" s="8"/>
      <c r="N25" s="9"/>
      <c r="O25" s="9"/>
      <c r="P25" s="137"/>
      <c r="Q25" s="137"/>
      <c r="T25" s="98"/>
      <c r="U25" s="98"/>
      <c r="V25" s="98"/>
    </row>
    <row r="26" spans="2:27" ht="16.5" thickTop="1" thickBot="1" x14ac:dyDescent="0.5">
      <c r="B26" s="3" t="str" cm="1">
        <f t="array" ref="B26">IF(ROW(A21) &lt;= COUNTA(_xlfn._xlws.FILTER('Último rebalanceo'!B$7:B$45, ('Último rebalanceo'!$K$7:$K$45&gt;0)*ISNUMBER('Último rebalanceo'!$K$7:$K$45))),
INDEX(_xlfn._xlws.FILTER('Último rebalanceo'!B$7:$B$45, ('Último rebalanceo'!$K$7:$K$45&gt;0)*ISNUMBER('Último rebalanceo'!$K$7:$K$45)), ROW(A21)),
"0")</f>
        <v>VESTA</v>
      </c>
      <c r="C26" s="37" t="str">
        <f>VLOOKUP(B26,GICS!$A:$B,2,0)</f>
        <v>Corporacion Inmobiliaria Vesta, S.A.B. DE C.V.</v>
      </c>
      <c r="D26" s="108">
        <f>VLOOKUP($B26,'Último rebalanceo'!$B27:$K65,10,0)</f>
        <v>16</v>
      </c>
      <c r="E26" s="4">
        <f>VLOOKUP($B26,'Último rebalanceo'!$B27:$H65,4,0)</f>
        <v>45.589759726845188</v>
      </c>
      <c r="F26" s="5">
        <f t="shared" si="0"/>
        <v>729.436155629523</v>
      </c>
      <c r="G26" s="4">
        <f>VLOOKUP($B26,'Último rebalanceo'!$B27:$H65,7,0)</f>
        <v>62.18</v>
      </c>
      <c r="H26" s="5">
        <f t="shared" si="1"/>
        <v>994.88</v>
      </c>
      <c r="I26" s="5">
        <v>27.120123370000002</v>
      </c>
      <c r="J26" s="6">
        <f t="shared" si="4"/>
        <v>0.37695117308839698</v>
      </c>
      <c r="K26" s="6">
        <f t="shared" si="2"/>
        <v>2.20513194218818E-2</v>
      </c>
      <c r="L26" s="120" t="str">
        <f>VLOOKUP(B26,GICS!A:C,3,0)</f>
        <v>Inmobiliario</v>
      </c>
      <c r="M26" s="8"/>
      <c r="N26" s="9"/>
      <c r="O26" s="9"/>
      <c r="P26" s="137"/>
      <c r="Q26" s="137"/>
      <c r="T26" s="98"/>
      <c r="U26" s="98"/>
      <c r="V26" s="98"/>
    </row>
    <row r="27" spans="2:27" ht="16.5" thickTop="1" thickBot="1" x14ac:dyDescent="0.5">
      <c r="B27" s="3" t="str" cm="1">
        <f t="array" ref="B27">IF(ROW(A22) &lt;= COUNTA(_xlfn._xlws.FILTER('Último rebalanceo'!B$7:B$45, ('Último rebalanceo'!$K$7:$K$45&gt;0)*ISNUMBER('Último rebalanceo'!$K$7:$K$45))),
INDEX(_xlfn._xlws.FILTER('Último rebalanceo'!B$7:$B$45, ('Último rebalanceo'!$K$7:$K$45&gt;0)*ISNUMBER('Último rebalanceo'!$K$7:$K$45)), ROW(A22)),
"0")</f>
        <v>LIVEPOLC-1</v>
      </c>
      <c r="C27" s="37" t="str">
        <f>VLOOKUP(B27,GICS!$A:$B,2,0)</f>
        <v>El Puerto de Liverpool SAB de CV</v>
      </c>
      <c r="D27" s="108">
        <f>VLOOKUP($B27,'Último rebalanceo'!$B28:$K66,10,0)</f>
        <v>13</v>
      </c>
      <c r="E27" s="4">
        <f>VLOOKUP($B27,'Último rebalanceo'!$B28:$H66,4,0)</f>
        <v>110.69042565377103</v>
      </c>
      <c r="F27" s="5">
        <f t="shared" si="0"/>
        <v>1438.9755334990234</v>
      </c>
      <c r="G27" s="4">
        <f>VLOOKUP($B27,'Último rebalanceo'!$B28:$H66,7,0)</f>
        <v>103.44</v>
      </c>
      <c r="H27" s="5">
        <f t="shared" si="1"/>
        <v>1344.72</v>
      </c>
      <c r="I27" s="5">
        <v>71.5</v>
      </c>
      <c r="J27" s="6">
        <f t="shared" si="4"/>
        <v>-5.9666226371940523E-2</v>
      </c>
      <c r="K27" s="6">
        <f t="shared" si="2"/>
        <v>2.9805454178386231E-2</v>
      </c>
      <c r="L27" s="120" t="str">
        <f>VLOOKUP(B27,GICS!A:C,3,0)</f>
        <v>Consumo discrecional</v>
      </c>
      <c r="M27" s="8"/>
      <c r="N27" s="9"/>
      <c r="O27" s="9"/>
      <c r="P27" s="137"/>
      <c r="Q27" s="137"/>
      <c r="T27" s="98"/>
      <c r="U27" s="98"/>
      <c r="V27" s="98"/>
    </row>
    <row r="28" spans="2:27" ht="16.5" thickTop="1" thickBot="1" x14ac:dyDescent="0.5">
      <c r="B28" s="3" t="str" cm="1">
        <f t="array" ref="B28">IF(ROW(A23) &lt;= COUNTA(_xlfn._xlws.FILTER('Último rebalanceo'!B$7:B$45, ('Último rebalanceo'!$K$7:$K$45&gt;0)*ISNUMBER('Último rebalanceo'!$K$7:$K$45))),
INDEX(_xlfn._xlws.FILTER('Último rebalanceo'!B$7:$B$45, ('Último rebalanceo'!$K$7:$K$45&gt;0)*ISNUMBER('Último rebalanceo'!$K$7:$K$45)), ROW(A23)),
"0")</f>
        <v>LABB</v>
      </c>
      <c r="C28" s="37" t="str">
        <f>VLOOKUP(B28,GICS!$A:$B,2,0)</f>
        <v>Genomma Lab Internacional SA de CV</v>
      </c>
      <c r="D28" s="108">
        <f>VLOOKUP($B28,'Último rebalanceo'!$B29:$K67,10,0)</f>
        <v>96</v>
      </c>
      <c r="E28" s="4">
        <f>VLOOKUP($B28,'Último rebalanceo'!$B29:$H67,4,0)</f>
        <v>17.420248615291882</v>
      </c>
      <c r="F28" s="5">
        <f t="shared" si="0"/>
        <v>1672.3438670680207</v>
      </c>
      <c r="G28" s="4">
        <f>VLOOKUP($B28,'Último rebalanceo'!$B29:$H67,7,0)</f>
        <v>16.48</v>
      </c>
      <c r="H28" s="5">
        <f t="shared" si="1"/>
        <v>1582.08</v>
      </c>
      <c r="I28" s="5">
        <v>195.45890000000003</v>
      </c>
      <c r="J28" s="6">
        <f t="shared" si="4"/>
        <v>0.59011582515713479</v>
      </c>
      <c r="K28" s="6">
        <f t="shared" si="2"/>
        <v>3.5066491869341784E-2</v>
      </c>
      <c r="L28" s="120" t="str">
        <f>VLOOKUP(B28,GICS!A:C,3,0)</f>
        <v>Cuidado de la Salud</v>
      </c>
      <c r="M28" s="8"/>
      <c r="N28" s="9"/>
      <c r="O28" s="9"/>
      <c r="P28" s="137"/>
      <c r="Q28" s="137"/>
      <c r="T28" s="98"/>
      <c r="U28" s="98"/>
      <c r="V28" s="98"/>
    </row>
    <row r="29" spans="2:27" ht="16.5" thickTop="1" thickBot="1" x14ac:dyDescent="0.5">
      <c r="B29" s="3" t="str" cm="1">
        <f t="array" ref="B29">IF(ROW(A24) &lt;= COUNTA(_xlfn._xlws.FILTER('Último rebalanceo'!B$7:B$45, ('Último rebalanceo'!$K$7:$K$45&gt;0)*ISNUMBER('Último rebalanceo'!$K$7:$K$45))),
INDEX(_xlfn._xlws.FILTER('Último rebalanceo'!B$7:$B$45, ('Último rebalanceo'!$K$7:$K$45&gt;0)*ISNUMBER('Último rebalanceo'!$K$7:$K$45)), ROW(A24)),
"0")</f>
        <v>GCARSOA1</v>
      </c>
      <c r="C29" s="37" t="str">
        <f>VLOOKUP(B29,GICS!$A:$B,2,0)</f>
        <v>Grupo Carso SAB de CV</v>
      </c>
      <c r="D29" s="108">
        <f>VLOOKUP($B29,'Último rebalanceo'!$B30:$K68,10,0)</f>
        <v>10</v>
      </c>
      <c r="E29" s="4">
        <f>VLOOKUP($B29,'Último rebalanceo'!$B30:$H68,4,0)</f>
        <v>90.062916630333547</v>
      </c>
      <c r="F29" s="5">
        <f t="shared" si="0"/>
        <v>900.62916630333552</v>
      </c>
      <c r="G29" s="4">
        <f>VLOOKUP($B29,'Último rebalanceo'!$B30:$H68,7,0)</f>
        <v>132.81</v>
      </c>
      <c r="H29" s="5">
        <f t="shared" si="1"/>
        <v>1328.1</v>
      </c>
      <c r="I29" s="5">
        <v>66.55</v>
      </c>
      <c r="J29" s="6">
        <f t="shared" si="4"/>
        <v>0.48284036178370693</v>
      </c>
      <c r="K29" s="6">
        <f t="shared" si="2"/>
        <v>2.9437075148963911E-2</v>
      </c>
      <c r="L29" s="120" t="str">
        <f>VLOOKUP(B29,GICS!A:C,3,0)</f>
        <v>Consumo discrecional</v>
      </c>
      <c r="M29" s="8"/>
      <c r="N29" s="9"/>
      <c r="O29" s="9"/>
      <c r="P29" s="137"/>
      <c r="Q29" s="137"/>
      <c r="T29" s="98"/>
      <c r="U29" s="98"/>
      <c r="V29" s="98"/>
    </row>
    <row r="30" spans="2:27" ht="16.5" thickTop="1" thickBot="1" x14ac:dyDescent="0.5">
      <c r="B30" s="3" t="str" cm="1">
        <f t="array" ref="B30">IF(ROW(A25) &lt;= COUNTA(_xlfn._xlws.FILTER('Último rebalanceo'!B$7:B$45, ('Último rebalanceo'!$K$7:$K$45&gt;0)*ISNUMBER('Último rebalanceo'!$K$7:$K$45))),
INDEX(_xlfn._xlws.FILTER('Último rebalanceo'!B$7:$B$45, ('Último rebalanceo'!$K$7:$K$45&gt;0)*ISNUMBER('Último rebalanceo'!$K$7:$K$45)), ROW(A25)),
"0")</f>
        <v>GCC</v>
      </c>
      <c r="C30" s="37" t="str">
        <f>VLOOKUP(B30,GICS!$A:$B,2,0)</f>
        <v>Grupo Cementos de Chihuahua SAB de CV</v>
      </c>
      <c r="D30" s="108">
        <f>VLOOKUP($B30,'Último rebalanceo'!$B31:$K69,10,0)</f>
        <v>7</v>
      </c>
      <c r="E30" s="4">
        <f>VLOOKUP($B30,'Último rebalanceo'!$B31:$H69,4,0)</f>
        <v>145.43619755336221</v>
      </c>
      <c r="F30" s="5">
        <f t="shared" si="0"/>
        <v>1018.0533828735354</v>
      </c>
      <c r="G30" s="4">
        <f>VLOOKUP($B30,'Último rebalanceo'!$B31:$H69,7,0)</f>
        <v>206.4</v>
      </c>
      <c r="H30" s="5">
        <f t="shared" si="1"/>
        <v>1444.8</v>
      </c>
      <c r="I30" s="5">
        <v>38.5259</v>
      </c>
      <c r="J30" s="6">
        <f t="shared" si="4"/>
        <v>0.42100042805032478</v>
      </c>
      <c r="K30" s="6">
        <f t="shared" si="2"/>
        <v>3.20237076840773E-2</v>
      </c>
      <c r="L30" s="120" t="str">
        <f>VLOOKUP(B30,GICS!A:C,3,0)</f>
        <v>Materiales</v>
      </c>
      <c r="M30" s="8"/>
      <c r="N30" s="9"/>
      <c r="O30" s="9"/>
      <c r="P30" s="137"/>
      <c r="Q30" s="137"/>
      <c r="T30" s="98"/>
      <c r="U30" s="98"/>
      <c r="V30" s="98"/>
    </row>
    <row r="31" spans="2:27" ht="16.5" thickTop="1" thickBot="1" x14ac:dyDescent="0.5">
      <c r="B31" s="3" t="str" cm="1">
        <f t="array" ref="B31">IF(ROW(A26) &lt;= COUNTA(_xlfn._xlws.FILTER('Último rebalanceo'!B$7:B$45, ('Último rebalanceo'!$K$7:$K$45&gt;0)*ISNUMBER('Último rebalanceo'!$K$7:$K$45))),
INDEX(_xlfn._xlws.FILTER('Último rebalanceo'!B$7:$B$45, ('Último rebalanceo'!$K$7:$K$45&gt;0)*ISNUMBER('Último rebalanceo'!$K$7:$K$45)), ROW(A26)),
"0")</f>
        <v>GFNORTEO</v>
      </c>
      <c r="C31" s="37" t="str">
        <f>VLOOKUP(B31,GICS!$A:$B,2,0)</f>
        <v>Grupo Financiero Banorte O</v>
      </c>
      <c r="D31" s="108">
        <f>VLOOKUP($B31,'Último rebalanceo'!$B32:$K70,10,0)</f>
        <v>8</v>
      </c>
      <c r="E31" s="4">
        <f>VLOOKUP($B31,'Último rebalanceo'!$B32:$H70,4,0)</f>
        <v>120.245901088406</v>
      </c>
      <c r="F31" s="5">
        <f t="shared" si="0"/>
        <v>961.96720870724801</v>
      </c>
      <c r="G31" s="4">
        <f>VLOOKUP($B31,'Último rebalanceo'!$B32:$H70,7,0)</f>
        <v>189.68</v>
      </c>
      <c r="H31" s="5">
        <f t="shared" si="1"/>
        <v>1517.44</v>
      </c>
      <c r="I31" s="5">
        <v>468.88310899999999</v>
      </c>
      <c r="J31" s="6">
        <f t="shared" si="4"/>
        <v>0.60986251504335676</v>
      </c>
      <c r="K31" s="6">
        <f t="shared" si="2"/>
        <v>3.36337589895669E-2</v>
      </c>
      <c r="L31" s="120" t="str">
        <f>VLOOKUP(B31,GICS!A:C,3,0)</f>
        <v>Financiero</v>
      </c>
      <c r="M31" s="8"/>
      <c r="N31" s="9"/>
      <c r="O31" s="9"/>
      <c r="P31" s="137"/>
      <c r="Q31" s="137"/>
      <c r="T31" s="98"/>
      <c r="U31" s="98"/>
      <c r="V31" s="98"/>
    </row>
    <row r="32" spans="2:27" ht="16.5" thickTop="1" thickBot="1" x14ac:dyDescent="0.5">
      <c r="B32" s="3" t="str" cm="1">
        <f t="array" ref="B32">IF(ROW(A27) &lt;= COUNTA(_xlfn._xlws.FILTER('Último rebalanceo'!B$7:B$45, ('Último rebalanceo'!$K$7:$K$45&gt;0)*ISNUMBER('Último rebalanceo'!$K$7:$K$45))),
INDEX(_xlfn._xlws.FILTER('Último rebalanceo'!B$7:$B$45, ('Último rebalanceo'!$K$7:$K$45&gt;0)*ISNUMBER('Último rebalanceo'!$K$7:$K$45)), ROW(A27)),
"0")</f>
        <v>GFINBURO</v>
      </c>
      <c r="C32" s="37" t="str">
        <f>VLOOKUP(B32,GICS!$A:$B,2,0)</f>
        <v>Grupo Financiero Inbursa O</v>
      </c>
      <c r="D32" s="108">
        <f>VLOOKUP($B32,'Último rebalanceo'!$B33:$K71,10,0)</f>
        <v>29</v>
      </c>
      <c r="E32" s="4">
        <f>VLOOKUP($B32,'Último rebalanceo'!$B33:$H71,4,0)</f>
        <v>26.817781299352649</v>
      </c>
      <c r="F32" s="5">
        <f t="shared" si="0"/>
        <v>777.71565768122684</v>
      </c>
      <c r="G32" s="4">
        <f>VLOOKUP($B32,'Último rebalanceo'!$B33:$H71,7,0)</f>
        <v>43</v>
      </c>
      <c r="H32" s="5">
        <f t="shared" si="1"/>
        <v>1247</v>
      </c>
      <c r="I32" s="5">
        <v>181.9</v>
      </c>
      <c r="J32" s="6">
        <f t="shared" si="4"/>
        <v>0.85633601107086066</v>
      </c>
      <c r="K32" s="6">
        <f t="shared" si="2"/>
        <v>2.7639509608281002E-2</v>
      </c>
      <c r="L32" s="120" t="str">
        <f>VLOOKUP(B32,GICS!A:C,3,0)</f>
        <v>Financiero</v>
      </c>
      <c r="M32" s="8"/>
      <c r="N32" s="9"/>
      <c r="O32" s="9"/>
      <c r="P32" s="137"/>
      <c r="Q32" s="137"/>
      <c r="T32" s="98"/>
      <c r="U32" s="98"/>
      <c r="V32" s="98"/>
    </row>
    <row r="33" spans="2:22" ht="16.5" thickTop="1" thickBot="1" x14ac:dyDescent="0.5">
      <c r="B33" s="3" t="str" cm="1">
        <f t="array" ref="B33">IF(ROW(A28) &lt;= COUNTA(_xlfn._xlws.FILTER('Último rebalanceo'!B$7:B$45, ('Último rebalanceo'!$K$7:$K$45&gt;0)*ISNUMBER('Último rebalanceo'!$K$7:$K$45))),
INDEX(_xlfn._xlws.FILTER('Último rebalanceo'!B$7:$B$45, ('Último rebalanceo'!$K$7:$K$45&gt;0)*ISNUMBER('Último rebalanceo'!$K$7:$K$45)), ROW(A28)),
"0")</f>
        <v>KIMBERA</v>
      </c>
      <c r="C33" s="37" t="str">
        <f>VLOOKUP(B33,GICS!$A:$B,2,0)</f>
        <v>Kimberly Clark de Mexico S.A.B. de C.V. A</v>
      </c>
      <c r="D33" s="108">
        <f>VLOOKUP($B33,'Último rebalanceo'!$B34:$K72,10,0)</f>
        <v>40</v>
      </c>
      <c r="E33" s="4">
        <f>VLOOKUP($B33,'Último rebalanceo'!$B34:$H72,4,0)</f>
        <v>32.450085496113218</v>
      </c>
      <c r="F33" s="5">
        <f t="shared" si="0"/>
        <v>1298.0034198445287</v>
      </c>
      <c r="G33" s="4">
        <f>VLOOKUP($B33,'Último rebalanceo'!$B34:$H72,7,0)</f>
        <v>39.5</v>
      </c>
      <c r="H33" s="5">
        <f t="shared" si="1"/>
        <v>1580</v>
      </c>
      <c r="I33" s="5">
        <v>272.55</v>
      </c>
      <c r="J33" s="6">
        <f t="shared" si="4"/>
        <v>0.47608404229000545</v>
      </c>
      <c r="K33" s="6">
        <f t="shared" si="2"/>
        <v>3.5020389078655963E-2</v>
      </c>
      <c r="L33" s="120" t="str">
        <f>VLOOKUP(B33,GICS!A:C,3,0)</f>
        <v>Consumo discrecional</v>
      </c>
      <c r="M33" s="8"/>
      <c r="N33" s="9"/>
      <c r="O33" s="9"/>
      <c r="P33" s="137"/>
      <c r="Q33" s="137"/>
      <c r="T33" s="98"/>
      <c r="U33" s="98"/>
      <c r="V33" s="98"/>
    </row>
    <row r="34" spans="2:22" ht="16.5" thickTop="1" thickBot="1" x14ac:dyDescent="0.5">
      <c r="B34" s="3" t="str" cm="1">
        <f t="array" ref="B34">IF(ROW(A29) &lt;= COUNTA(_xlfn._xlws.FILTER('Último rebalanceo'!B$7:B$45, ('Último rebalanceo'!$K$7:$K$45&gt;0)*ISNUMBER('Último rebalanceo'!$K$7:$K$45))),
INDEX(_xlfn._xlws.FILTER('Último rebalanceo'!B$7:$B$45, ('Último rebalanceo'!$K$7:$K$45&gt;0)*ISNUMBER('Último rebalanceo'!$K$7:$K$45)), ROW(A29)),
"0")</f>
        <v>MEGACPO</v>
      </c>
      <c r="C34" s="37" t="str">
        <f>VLOOKUP(B34,GICS!$A:$B,2,0)</f>
        <v>Megacable Holdings SAB de CV</v>
      </c>
      <c r="D34" s="108">
        <f>VLOOKUP($B34,'Último rebalanceo'!$B35:$K73,10,0)</f>
        <v>15</v>
      </c>
      <c r="E34" s="4">
        <f>VLOOKUP($B34,'Último rebalanceo'!$B35:$H73,4,0)</f>
        <v>45.80330199377768</v>
      </c>
      <c r="F34" s="5">
        <f t="shared" si="0"/>
        <v>687.04952990666516</v>
      </c>
      <c r="G34" s="4">
        <f>VLOOKUP($B34,'Último rebalanceo'!$B35:$H73,7,0)</f>
        <v>61.15</v>
      </c>
      <c r="H34" s="5">
        <f t="shared" si="1"/>
        <v>917.25</v>
      </c>
      <c r="I34" s="5">
        <v>372.5</v>
      </c>
      <c r="J34" s="6">
        <f t="shared" si="4"/>
        <v>0.51261150243798093</v>
      </c>
      <c r="K34" s="6">
        <f t="shared" si="2"/>
        <v>2.0330665748352645E-2</v>
      </c>
      <c r="L34" s="120" t="str">
        <f>VLOOKUP(B34,GICS!A:C,3,0)</f>
        <v>Servicios de comunicación</v>
      </c>
      <c r="M34" s="8"/>
      <c r="N34" s="9"/>
      <c r="O34" s="9"/>
      <c r="P34" s="137"/>
      <c r="Q34" s="137"/>
      <c r="T34" s="98"/>
      <c r="U34" s="98"/>
      <c r="V34" s="98"/>
    </row>
    <row r="35" spans="2:22" ht="16.5" thickTop="1" thickBot="1" x14ac:dyDescent="0.5">
      <c r="B35" s="3" t="str" cm="1">
        <f t="array" ref="B35">IF(ROW(A30) &lt;= COUNTA(_xlfn._xlws.FILTER('Último rebalanceo'!B$7:B$45, ('Último rebalanceo'!$K$7:$K$45&gt;0)*ISNUMBER('Último rebalanceo'!$K$7:$K$45))),
INDEX(_xlfn._xlws.FILTER('Último rebalanceo'!B$7:$B$45, ('Último rebalanceo'!$K$7:$K$45&gt;0)*ISNUMBER('Último rebalanceo'!$K$7:$K$45)), ROW(A30)),
"0")</f>
        <v>Q</v>
      </c>
      <c r="C35" s="37" t="str">
        <f>VLOOKUP(B35,GICS!$A:$B,2,0)</f>
        <v>Qualitas Controladora S.A.B de C.V.</v>
      </c>
      <c r="D35" s="108">
        <f>VLOOKUP($B35,'Último rebalanceo'!$B36:$K74,10,0)</f>
        <v>9</v>
      </c>
      <c r="E35" s="4">
        <f>VLOOKUP($B35,'Último rebalanceo'!$B36:$H74,4,0)</f>
        <v>142.67109697658202</v>
      </c>
      <c r="F35" s="5">
        <f t="shared" si="0"/>
        <v>1284.0398727892382</v>
      </c>
      <c r="G35" s="4">
        <f>VLOOKUP($B35,'Último rebalanceo'!$B36:$H74,7,0)</f>
        <v>174.21</v>
      </c>
      <c r="H35" s="5">
        <f t="shared" si="1"/>
        <v>1567.89</v>
      </c>
      <c r="I35" s="5">
        <v>176.35</v>
      </c>
      <c r="J35" s="6">
        <f t="shared" si="4"/>
        <v>0.22972391370598166</v>
      </c>
      <c r="K35" s="6">
        <f t="shared" si="2"/>
        <v>3.4751973311730314E-2</v>
      </c>
      <c r="L35" s="120" t="str">
        <f>VLOOKUP(B35,GICS!A:C,3,0)</f>
        <v>Financiero</v>
      </c>
      <c r="M35" s="8"/>
      <c r="N35" s="9"/>
      <c r="O35" s="9"/>
      <c r="P35" s="137"/>
      <c r="Q35" s="137"/>
      <c r="T35" s="98"/>
      <c r="U35" s="98"/>
      <c r="V35" s="98"/>
    </row>
    <row r="36" spans="2:22" ht="16.5" thickTop="1" thickBot="1" x14ac:dyDescent="0.5">
      <c r="B36" s="3" t="str" cm="1">
        <f t="array" ref="B36">IF(ROW(A31) &lt;= COUNTA(_xlfn._xlws.FILTER('Último rebalanceo'!B$7:B$45, ('Último rebalanceo'!$K$7:$K$45&gt;0)*ISNUMBER('Último rebalanceo'!$K$7:$K$45))),
INDEX(_xlfn._xlws.FILTER('Último rebalanceo'!B$7:$B$45, ('Último rebalanceo'!$K$7:$K$45&gt;0)*ISNUMBER('Último rebalanceo'!$K$7:$K$45)), ROW(A31)),
"0")</f>
        <v>RA</v>
      </c>
      <c r="C36" s="37" t="str">
        <f>VLOOKUP(B36,GICS!$A:$B,2,0)</f>
        <v>Regional, S.A. de C.V.</v>
      </c>
      <c r="D36" s="108">
        <f>VLOOKUP($B36,'Último rebalanceo'!$B37:$K75,10,0)</f>
        <v>10</v>
      </c>
      <c r="E36" s="4">
        <f>VLOOKUP($B36,'Último rebalanceo'!$B37:$H75,4,0)</f>
        <v>112.53165021946023</v>
      </c>
      <c r="F36" s="5">
        <f t="shared" si="0"/>
        <v>1125.3165021946024</v>
      </c>
      <c r="G36" s="4">
        <f>VLOOKUP($B36,'Último rebalanceo'!$B37:$H75,7,0)</f>
        <v>147.19999999999999</v>
      </c>
      <c r="H36" s="5">
        <f t="shared" si="1"/>
        <v>1472</v>
      </c>
      <c r="I36" s="5">
        <v>168.346</v>
      </c>
      <c r="J36" s="6">
        <f t="shared" si="4"/>
        <v>0.32137036757825488</v>
      </c>
      <c r="K36" s="6">
        <f t="shared" si="2"/>
        <v>3.2626590331507326E-2</v>
      </c>
      <c r="L36" s="120" t="str">
        <f>VLOOKUP(B36,GICS!A:C,3,0)</f>
        <v>Financiero</v>
      </c>
      <c r="M36" s="8"/>
      <c r="N36" s="9"/>
      <c r="O36" s="9"/>
      <c r="P36" s="137"/>
      <c r="Q36" s="137"/>
      <c r="T36" s="98"/>
      <c r="U36" s="98"/>
      <c r="V36" s="98"/>
    </row>
    <row r="37" spans="2:22" ht="16.5" thickTop="1" thickBot="1" x14ac:dyDescent="0.5">
      <c r="B37" s="3" t="str" cm="1">
        <f t="array" ref="B37">IF(ROW(A32) &lt;= COUNTA(_xlfn._xlws.FILTER('Último rebalanceo'!B$7:B$45, ('Último rebalanceo'!$K$7:$K$45&gt;0)*ISNUMBER('Último rebalanceo'!$K$7:$K$45))),
INDEX(_xlfn._xlws.FILTER('Último rebalanceo'!B$7:$B$45, ('Último rebalanceo'!$K$7:$K$45&gt;0)*ISNUMBER('Último rebalanceo'!$K$7:$K$45)), ROW(A32)),
"0")</f>
        <v>GENTERA</v>
      </c>
      <c r="C37" s="37" t="str">
        <f>VLOOKUP(B37,GICS!$A:$B,2,0)</f>
        <v>Gentera SAB de CV</v>
      </c>
      <c r="D37" s="108">
        <f>VLOOKUP($B37,'Último rebalanceo'!$B38:$K76,10,0)</f>
        <v>17</v>
      </c>
      <c r="E37" s="4">
        <f>VLOOKUP($B37,'Último rebalanceo'!$B38:$H76,4,0)</f>
        <v>19.186742407935007</v>
      </c>
      <c r="F37" s="5">
        <f t="shared" si="0"/>
        <v>326.17462093489513</v>
      </c>
      <c r="G37" s="4">
        <f>VLOOKUP($B37,'Último rebalanceo'!$B38:$H76,7,0)</f>
        <v>45.76</v>
      </c>
      <c r="H37" s="5">
        <f t="shared" si="1"/>
        <v>777.92</v>
      </c>
      <c r="I37" s="5">
        <v>188.69646399999999</v>
      </c>
      <c r="J37" s="6">
        <f t="shared" si="4"/>
        <v>1.8975597070883414</v>
      </c>
      <c r="K37" s="6">
        <f t="shared" si="2"/>
        <v>1.7242443716498763E-2</v>
      </c>
      <c r="L37" s="120" t="str">
        <f>VLOOKUP(B37,GICS!A:C,3,0)</f>
        <v>Financiero</v>
      </c>
      <c r="M37" s="8"/>
      <c r="N37" s="9"/>
      <c r="O37" s="9"/>
      <c r="P37" s="137"/>
      <c r="Q37" s="137"/>
      <c r="T37" s="98"/>
      <c r="U37" s="98"/>
      <c r="V37" s="98"/>
    </row>
    <row r="38" spans="2:22" ht="16.5" thickTop="1" thickBot="1" x14ac:dyDescent="0.5">
      <c r="B38" s="3" t="str" cm="1">
        <f t="array" ref="B38">IF(ROW(A33) &lt;= COUNTA(_xlfn._xlws.FILTER('Último rebalanceo'!B$7:B$45, ('Último rebalanceo'!$K$7:$K$45&gt;0)*ISNUMBER('Último rebalanceo'!$K$7:$K$45))),
INDEX(_xlfn._xlws.FILTER('Último rebalanceo'!B$7:$B$45, ('Último rebalanceo'!$K$7:$K$45&gt;0)*ISNUMBER('Último rebalanceo'!$K$7:$K$45)), ROW(A33)),
"0")</f>
        <v>CHDRAUIB</v>
      </c>
      <c r="C38" s="37" t="str">
        <f>VLOOKUP(B38,GICS!$A:$B,2,0)</f>
        <v>Grupo Comercial Chedraui SA de CV</v>
      </c>
      <c r="D38" s="108">
        <f>VLOOKUP($B38,'Último rebalanceo'!$B39:$K77,10,0)</f>
        <v>5</v>
      </c>
      <c r="E38" s="4">
        <f>VLOOKUP($B38,'Último rebalanceo'!$B39:$H77,4,0)</f>
        <v>111.59020233154301</v>
      </c>
      <c r="F38" s="5">
        <f t="shared" si="0"/>
        <v>557.95101165771507</v>
      </c>
      <c r="G38" s="4">
        <f>VLOOKUP($B38,'Último rebalanceo'!$B39:$H77,7,0)</f>
        <v>102.29</v>
      </c>
      <c r="H38" s="5">
        <f t="shared" si="1"/>
        <v>511.45000000000005</v>
      </c>
      <c r="I38" s="5">
        <v>21.882000000000001</v>
      </c>
      <c r="J38" s="6">
        <f t="shared" si="4"/>
        <v>-8.1585207814057314E-2</v>
      </c>
      <c r="K38" s="6">
        <f t="shared" si="2"/>
        <v>1.1336188603973793E-2</v>
      </c>
      <c r="L38" s="120" t="str">
        <f>VLOOKUP(B38,GICS!A:C,3,0)</f>
        <v>Consumo básico</v>
      </c>
      <c r="M38" s="8"/>
      <c r="N38" s="9"/>
      <c r="O38" s="9"/>
      <c r="P38" s="137"/>
      <c r="Q38" s="137"/>
      <c r="T38" s="98"/>
      <c r="U38" s="98"/>
      <c r="V38" s="98"/>
    </row>
    <row r="39" spans="2:22" ht="16.5" thickTop="1" thickBot="1" x14ac:dyDescent="0.5">
      <c r="B39" s="3" t="str" cm="1">
        <f t="array" ref="B39">IF(ROW(A34) &lt;= COUNTA(_xlfn._xlws.FILTER('Último rebalanceo'!B$7:B$45, ('Último rebalanceo'!$K$7:$K$45&gt;0)*ISNUMBER('Último rebalanceo'!$K$7:$K$45))),
INDEX(_xlfn._xlws.FILTER('Último rebalanceo'!B$7:$B$45, ('Último rebalanceo'!$K$7:$K$45&gt;0)*ISNUMBER('Último rebalanceo'!$K$7:$K$45)), ROW(A34)),
"0")</f>
        <v>LACOMERUBC</v>
      </c>
      <c r="C39" s="37" t="str">
        <f>VLOOKUP(B39,GICS!$A:$B,2,0)</f>
        <v>La Comer, S.A.B. de C.V.</v>
      </c>
      <c r="D39" s="108">
        <f>VLOOKUP($B39,'Último rebalanceo'!$B40:$K78,10,0)</f>
        <v>22</v>
      </c>
      <c r="E39" s="4">
        <f>VLOOKUP($B39,'Último rebalanceo'!$B40:$H78,4,0)</f>
        <v>37.176552517241376</v>
      </c>
      <c r="F39" s="5">
        <f t="shared" si="0"/>
        <v>817.8841553793103</v>
      </c>
      <c r="G39" s="4">
        <f>VLOOKUP($B39,'Último rebalanceo'!$B40:$H78,7,0)</f>
        <v>39.700000000000003</v>
      </c>
      <c r="H39" s="5">
        <f t="shared" si="1"/>
        <v>873.40000000000009</v>
      </c>
      <c r="I39" s="5">
        <v>14.357800000000001</v>
      </c>
      <c r="J39" s="6">
        <f t="shared" si="4"/>
        <v>7.8265817570461804E-2</v>
      </c>
      <c r="K39" s="6">
        <f t="shared" si="2"/>
        <v>1.9358739127403872E-2</v>
      </c>
      <c r="L39" s="120" t="str">
        <f>VLOOKUP(B39,GICS!A:C,3,0)</f>
        <v>Consumo básico</v>
      </c>
      <c r="M39" s="8"/>
      <c r="N39" s="9"/>
      <c r="O39" s="9"/>
      <c r="P39" s="137"/>
      <c r="Q39" s="137"/>
      <c r="T39" s="98"/>
      <c r="U39" s="98"/>
      <c r="V39" s="98"/>
    </row>
    <row r="40" spans="2:22" ht="16.5" thickTop="1" thickBot="1" x14ac:dyDescent="0.5">
      <c r="B40" s="3" t="str" cm="1">
        <f t="array" ref="B40">IF(ROW(A35) &lt;= COUNTA(_xlfn._xlws.FILTER('Último rebalanceo'!B$7:B$45, ('Último rebalanceo'!$K$7:$K$45&gt;0)*ISNUMBER('Último rebalanceo'!$K$7:$K$45))),
INDEX(_xlfn._xlws.FILTER('Último rebalanceo'!B$7:$B$45, ('Último rebalanceo'!$K$7:$K$45&gt;0)*ISNUMBER('Último rebalanceo'!$K$7:$K$45)), ROW(A35)),
"0")</f>
        <v>VOLARA</v>
      </c>
      <c r="C40" s="37" t="str">
        <f>VLOOKUP(B40,GICS!$A:$B,2,0)</f>
        <v>Controladora Vuela Compania de Aviacion SAB de CV</v>
      </c>
      <c r="D40" s="108">
        <f>VLOOKUP($B40,'Último rebalanceo'!$B41:$K79,10,0)</f>
        <v>144</v>
      </c>
      <c r="E40" s="4">
        <f>VLOOKUP($B40,'Último rebalanceo'!$B41:$H79,4,0)</f>
        <v>0</v>
      </c>
      <c r="F40" s="5">
        <f t="shared" si="0"/>
        <v>0</v>
      </c>
      <c r="G40" s="4">
        <f>VLOOKUP($B40,'Último rebalanceo'!$B41:$H79,7,0)</f>
        <v>13.06</v>
      </c>
      <c r="H40" s="5">
        <f t="shared" si="1"/>
        <v>1880.64</v>
      </c>
      <c r="I40" s="5">
        <v>0</v>
      </c>
      <c r="J40" s="6" t="e">
        <f t="shared" si="4"/>
        <v>#DIV/0!</v>
      </c>
      <c r="K40" s="6">
        <f t="shared" si="2"/>
        <v>4.1684015517014908E-2</v>
      </c>
      <c r="L40" s="120" t="str">
        <f>VLOOKUP(B40,GICS!A:C,3,0)</f>
        <v>Consumo básico</v>
      </c>
      <c r="M40" s="8"/>
      <c r="N40" s="9"/>
      <c r="O40" s="9"/>
      <c r="P40" s="137"/>
      <c r="Q40" s="137"/>
      <c r="T40" s="98"/>
      <c r="U40" s="98"/>
      <c r="V40" s="98"/>
    </row>
    <row r="41" spans="2:22" ht="15.5" thickTop="1" thickBot="1" x14ac:dyDescent="0.4">
      <c r="B41" s="3" t="s">
        <v>7</v>
      </c>
      <c r="C41" s="3"/>
      <c r="D41" s="71">
        <f>'Último rebalanceo'!K46</f>
        <v>429.25470313401684</v>
      </c>
      <c r="E41" s="4">
        <f>'Último rebalanceo'!L46</f>
        <v>0</v>
      </c>
      <c r="F41" s="5">
        <f t="shared" si="0"/>
        <v>0</v>
      </c>
      <c r="G41" s="5"/>
      <c r="H41" s="5">
        <f>D41</f>
        <v>429.25470313401684</v>
      </c>
      <c r="I41" s="14">
        <v>0.21473421150096006</v>
      </c>
      <c r="J41" s="6"/>
      <c r="K41" s="6">
        <f t="shared" si="2"/>
        <v>9.5143460237950821E-3</v>
      </c>
      <c r="L41" s="120" t="str">
        <f>B41</f>
        <v>EFECTIVO</v>
      </c>
      <c r="P41" s="137"/>
      <c r="Q41" s="137"/>
    </row>
    <row r="42" spans="2:22" ht="15.5" thickTop="1" thickBot="1" x14ac:dyDescent="0.4">
      <c r="D42" s="27"/>
    </row>
    <row r="43" spans="2:22" ht="15.5" thickTop="1" thickBot="1" x14ac:dyDescent="0.4">
      <c r="B43" s="10" t="s">
        <v>10</v>
      </c>
      <c r="C43" s="10"/>
      <c r="D43" s="10"/>
      <c r="E43" s="10"/>
      <c r="F43" s="11"/>
      <c r="G43" s="11"/>
      <c r="H43" s="11">
        <f>SUM(H6:H41)</f>
        <v>45116.574703134007</v>
      </c>
      <c r="I43" s="110" t="s">
        <v>119</v>
      </c>
      <c r="J43" s="14">
        <f>H43/D3-1</f>
        <v>0.80466298812536019</v>
      </c>
      <c r="K43" s="12">
        <f>SUM(K6:K41)</f>
        <v>1.0000000000000002</v>
      </c>
      <c r="L43" s="19"/>
      <c r="M43" s="19"/>
      <c r="N43" s="19"/>
      <c r="O43" s="19"/>
    </row>
    <row r="44" spans="2:22" ht="15.5" thickTop="1" thickBot="1" x14ac:dyDescent="0.4">
      <c r="B44" s="51"/>
      <c r="C44" s="51"/>
      <c r="D44" s="51"/>
      <c r="E44" s="51"/>
      <c r="F44" s="52"/>
      <c r="G44" s="52"/>
      <c r="H44" s="52"/>
      <c r="I44" s="111" t="s">
        <v>118</v>
      </c>
      <c r="J44" s="14">
        <f>LN(H43/D3)</f>
        <v>0.59037386417247284</v>
      </c>
      <c r="L44" s="19"/>
      <c r="M44" s="19"/>
      <c r="N44" s="19"/>
      <c r="O44" s="19"/>
    </row>
    <row r="45" spans="2:22" ht="15" thickTop="1" x14ac:dyDescent="0.35">
      <c r="B45" s="51"/>
      <c r="C45" s="51"/>
      <c r="D45" s="51"/>
      <c r="E45" s="51"/>
      <c r="F45" s="52"/>
      <c r="G45" s="52"/>
      <c r="H45" s="52"/>
      <c r="I45" s="52"/>
      <c r="J45" s="75"/>
      <c r="K45" s="76"/>
      <c r="L45" s="19"/>
      <c r="M45" s="19"/>
      <c r="N45" s="19"/>
      <c r="O45" s="19"/>
    </row>
    <row r="46" spans="2:22" ht="17" x14ac:dyDescent="0.45">
      <c r="B46" s="149" t="s">
        <v>30</v>
      </c>
      <c r="C46" s="149"/>
      <c r="M46" s="19"/>
      <c r="N46" s="19"/>
      <c r="O46" s="19"/>
    </row>
    <row r="47" spans="2:22" ht="15" hidden="1" outlineLevel="1" x14ac:dyDescent="0.4">
      <c r="B47" s="148" t="s">
        <v>24</v>
      </c>
      <c r="C47" s="148"/>
      <c r="D47" s="80">
        <v>25000</v>
      </c>
      <c r="E47" s="16"/>
      <c r="M47" s="19"/>
      <c r="N47" s="19"/>
      <c r="O47" s="19"/>
    </row>
    <row r="48" spans="2:22" ht="15" hidden="1" outlineLevel="1" x14ac:dyDescent="0.4">
      <c r="B48" s="148" t="s">
        <v>31</v>
      </c>
      <c r="C48" s="148"/>
      <c r="D48" s="134">
        <v>0</v>
      </c>
      <c r="E48" s="77"/>
      <c r="F48" s="77"/>
      <c r="G48" s="77"/>
      <c r="H48" s="77"/>
      <c r="I48" s="77"/>
      <c r="J48" s="77"/>
      <c r="K48" s="77"/>
      <c r="M48" s="19"/>
      <c r="N48" s="19"/>
      <c r="O48" s="19"/>
    </row>
    <row r="49" spans="2:15" ht="15" hidden="1" customHeight="1" outlineLevel="1" x14ac:dyDescent="0.35">
      <c r="B49" s="152" t="s">
        <v>46</v>
      </c>
      <c r="C49" s="152"/>
      <c r="D49" s="152"/>
      <c r="E49" s="152"/>
      <c r="F49" s="152"/>
      <c r="G49" s="152"/>
      <c r="H49" s="152"/>
      <c r="I49" s="152"/>
      <c r="J49" s="152"/>
      <c r="K49" s="152"/>
      <c r="M49" s="19"/>
      <c r="N49" s="19"/>
      <c r="O49" s="19"/>
    </row>
    <row r="50" spans="2:15" ht="15" hidden="1" customHeight="1" outlineLevel="1" x14ac:dyDescent="0.35">
      <c r="B50" s="152"/>
      <c r="C50" s="152"/>
      <c r="D50" s="152"/>
      <c r="E50" s="152"/>
      <c r="F50" s="152"/>
      <c r="G50" s="152"/>
      <c r="H50" s="152"/>
      <c r="I50" s="152"/>
      <c r="J50" s="152"/>
      <c r="K50" s="152"/>
      <c r="M50" s="19"/>
      <c r="N50" s="19"/>
      <c r="O50" s="19"/>
    </row>
    <row r="51" spans="2:15" ht="15" hidden="1" customHeight="1" outlineLevel="1" x14ac:dyDescent="0.4">
      <c r="B51" s="97"/>
      <c r="C51" s="97"/>
      <c r="D51" s="97"/>
      <c r="E51" s="97"/>
      <c r="F51" s="97"/>
      <c r="G51" s="97"/>
      <c r="H51" s="97"/>
      <c r="I51" s="97"/>
      <c r="J51" s="97"/>
      <c r="K51" s="97"/>
      <c r="M51" s="19"/>
      <c r="N51" s="19"/>
      <c r="O51" s="19"/>
    </row>
    <row r="52" spans="2:15" ht="16.5" hidden="1" outlineLevel="1" thickBot="1" x14ac:dyDescent="0.5">
      <c r="B52" s="147" t="s">
        <v>12</v>
      </c>
      <c r="C52" s="147"/>
      <c r="M52" s="19"/>
      <c r="N52" s="19"/>
      <c r="O52" s="19"/>
    </row>
    <row r="53" spans="2:15" ht="36" hidden="1" outlineLevel="1" thickTop="1" thickBot="1" x14ac:dyDescent="0.4">
      <c r="B53" s="17" t="s">
        <v>1</v>
      </c>
      <c r="C53" s="17" t="s">
        <v>2</v>
      </c>
      <c r="D53" s="17" t="s">
        <v>3</v>
      </c>
      <c r="E53" s="18" t="s">
        <v>8</v>
      </c>
      <c r="F53" s="17" t="s">
        <v>4</v>
      </c>
      <c r="G53" s="18" t="s">
        <v>16</v>
      </c>
      <c r="H53" s="17" t="s">
        <v>9</v>
      </c>
      <c r="I53" s="73" t="s">
        <v>32</v>
      </c>
      <c r="J53" s="18" t="s">
        <v>11</v>
      </c>
      <c r="K53" s="18" t="s">
        <v>5</v>
      </c>
      <c r="L53" s="2" t="s">
        <v>6</v>
      </c>
      <c r="M53" s="73" t="s">
        <v>27</v>
      </c>
      <c r="N53" s="21"/>
      <c r="O53" s="19"/>
    </row>
    <row r="54" spans="2:15" ht="15.5" hidden="1" outlineLevel="1" thickTop="1" thickBot="1" x14ac:dyDescent="0.4">
      <c r="B54" s="3" t="str">
        <f>B6</f>
        <v>GAPB</v>
      </c>
      <c r="C54" s="3" t="str">
        <f>C6</f>
        <v>Grupo Aeroportuario del Pacifico, S.A.B. de C.V.</v>
      </c>
      <c r="D54" s="108">
        <f>'Último rebalanceo'!K98</f>
        <v>3</v>
      </c>
      <c r="E54" s="4">
        <f>'Último rebalanceo'!L98</f>
        <v>214.37476239885609</v>
      </c>
      <c r="F54" s="5">
        <f t="shared" ref="F54:F88" si="11">D54*E54</f>
        <v>643.12428719656828</v>
      </c>
      <c r="G54" s="5">
        <f>G6</f>
        <v>438.21</v>
      </c>
      <c r="H54" s="5">
        <f t="shared" ref="H54:H88" si="12">D54*G54</f>
        <v>1314.6299999999999</v>
      </c>
      <c r="I54" s="79">
        <v>0</v>
      </c>
      <c r="J54" s="6">
        <f>(H54+I54)/F54-1</f>
        <v>1.0441305454822429</v>
      </c>
      <c r="K54" s="6">
        <f t="shared" ref="K54:K89" si="13">H54/$H$91</f>
        <v>2.4187570694987025E-2</v>
      </c>
      <c r="L54" s="6">
        <f>K6</f>
        <v>2.913851524966676E-2</v>
      </c>
      <c r="M54" s="22">
        <f>K54-L54</f>
        <v>-4.950944554679735E-3</v>
      </c>
      <c r="N54" s="21"/>
      <c r="O54" s="19"/>
    </row>
    <row r="55" spans="2:15" ht="15.5" hidden="1" outlineLevel="1" thickTop="1" thickBot="1" x14ac:dyDescent="0.4">
      <c r="B55" s="3" t="str">
        <f t="shared" ref="B55:C55" si="14">B7</f>
        <v>SIGMAFA</v>
      </c>
      <c r="C55" s="3" t="str">
        <f t="shared" si="14"/>
        <v>Sigma Foods SAB de CV</v>
      </c>
      <c r="D55" s="108">
        <f>'Último rebalanceo'!K99</f>
        <v>57</v>
      </c>
      <c r="E55" s="4">
        <f>'Último rebalanceo'!L99</f>
        <v>12.807926086058098</v>
      </c>
      <c r="F55" s="5">
        <f t="shared" si="11"/>
        <v>730.05178690531159</v>
      </c>
      <c r="G55" s="5">
        <f t="shared" ref="G55:G88" si="15">G7</f>
        <v>16.55</v>
      </c>
      <c r="H55" s="5">
        <f t="shared" si="12"/>
        <v>943.35</v>
      </c>
      <c r="I55" s="79">
        <v>0</v>
      </c>
      <c r="J55" s="6">
        <f t="shared" ref="J55:J88" si="16">(H55+I55)/F55-1</f>
        <v>0.29216860628320518</v>
      </c>
      <c r="K55" s="6">
        <f t="shared" si="13"/>
        <v>1.735647658665633E-2</v>
      </c>
      <c r="L55" s="6">
        <f t="shared" ref="L55:L89" si="17">K7</f>
        <v>2.1642822098641528E-2</v>
      </c>
      <c r="M55" s="22">
        <f t="shared" ref="M55:M89" si="18">K55-L55</f>
        <v>-4.2863455119851977E-3</v>
      </c>
      <c r="N55" s="21"/>
      <c r="O55" s="19"/>
    </row>
    <row r="56" spans="2:15" ht="15.5" hidden="1" outlineLevel="1" thickTop="1" thickBot="1" x14ac:dyDescent="0.4">
      <c r="B56" s="3" t="str">
        <f t="shared" ref="B56:C56" si="19">B8</f>
        <v>WALMEX</v>
      </c>
      <c r="C56" s="3" t="str">
        <f t="shared" si="19"/>
        <v>Walmart de Mexico SAB de CV</v>
      </c>
      <c r="D56" s="108">
        <f>'Último rebalanceo'!K100</f>
        <v>15</v>
      </c>
      <c r="E56" s="4">
        <f>'Último rebalanceo'!L100</f>
        <v>62.729415044148759</v>
      </c>
      <c r="F56" s="5">
        <f t="shared" si="11"/>
        <v>940.94122566223143</v>
      </c>
      <c r="G56" s="5">
        <f t="shared" si="15"/>
        <v>55.07</v>
      </c>
      <c r="H56" s="5">
        <f t="shared" si="12"/>
        <v>826.05</v>
      </c>
      <c r="I56" s="79">
        <v>0</v>
      </c>
      <c r="J56" s="6">
        <f t="shared" si="16"/>
        <v>-0.12210244649592372</v>
      </c>
      <c r="K56" s="6">
        <f t="shared" si="13"/>
        <v>1.519830125023317E-2</v>
      </c>
      <c r="L56" s="6">
        <f t="shared" si="17"/>
        <v>1.9529851408218571E-2</v>
      </c>
      <c r="M56" s="22">
        <f t="shared" si="18"/>
        <v>-4.3315501579854008E-3</v>
      </c>
      <c r="N56" s="21"/>
      <c r="O56" s="19"/>
    </row>
    <row r="57" spans="2:15" ht="15.5" hidden="1" outlineLevel="1" thickTop="1" thickBot="1" x14ac:dyDescent="0.4">
      <c r="B57" s="3" t="str">
        <f t="shared" ref="B57:C57" si="20">B9</f>
        <v>ORBIA</v>
      </c>
      <c r="C57" s="3" t="str">
        <f t="shared" si="20"/>
        <v>ORBIA ADVANCE CORPORATION SAB de CV</v>
      </c>
      <c r="D57" s="108">
        <f>'Último rebalanceo'!K101</f>
        <v>73</v>
      </c>
      <c r="E57" s="4">
        <f>'Último rebalanceo'!L101</f>
        <v>31.1753664335486</v>
      </c>
      <c r="F57" s="5">
        <f t="shared" si="11"/>
        <v>2275.8017496490479</v>
      </c>
      <c r="G57" s="5">
        <f t="shared" si="15"/>
        <v>20.91</v>
      </c>
      <c r="H57" s="5">
        <f t="shared" si="12"/>
        <v>1526.43</v>
      </c>
      <c r="I57" s="79">
        <v>0</v>
      </c>
      <c r="J57" s="6">
        <f t="shared" si="16"/>
        <v>-0.32927813231737291</v>
      </c>
      <c r="K57" s="6">
        <f t="shared" si="13"/>
        <v>2.8084429486584857E-2</v>
      </c>
      <c r="L57" s="6">
        <f t="shared" si="17"/>
        <v>3.4759952640887479E-2</v>
      </c>
      <c r="M57" s="22">
        <f t="shared" si="18"/>
        <v>-6.6755231543026219E-3</v>
      </c>
      <c r="N57" s="21"/>
      <c r="O57" s="19"/>
    </row>
    <row r="58" spans="2:15" ht="15.5" hidden="1" outlineLevel="1" thickTop="1" thickBot="1" x14ac:dyDescent="0.4">
      <c r="B58" s="3" t="str">
        <f t="shared" ref="B58:C58" si="21">B10</f>
        <v>OMAB</v>
      </c>
      <c r="C58" s="3" t="str">
        <f t="shared" si="21"/>
        <v>Grupo Aeroportuario del Centro Norte, S.A.B. de C.V.</v>
      </c>
      <c r="D58" s="108">
        <f>'Último rebalanceo'!K102</f>
        <v>8</v>
      </c>
      <c r="E58" s="4">
        <f>'Último rebalanceo'!L102</f>
        <v>106.4765609741211</v>
      </c>
      <c r="F58" s="5">
        <f t="shared" si="11"/>
        <v>851.8124877929688</v>
      </c>
      <c r="G58" s="5">
        <f t="shared" si="15"/>
        <v>231.83</v>
      </c>
      <c r="H58" s="5">
        <f t="shared" si="12"/>
        <v>1854.64</v>
      </c>
      <c r="I58" s="79">
        <v>0</v>
      </c>
      <c r="J58" s="6">
        <f t="shared" si="16"/>
        <v>1.1772866993360709</v>
      </c>
      <c r="K58" s="6">
        <f t="shared" si="13"/>
        <v>3.4123088712223776E-2</v>
      </c>
      <c r="L58" s="6">
        <f t="shared" si="17"/>
        <v>4.1107730633442086E-2</v>
      </c>
      <c r="M58" s="22">
        <f t="shared" si="18"/>
        <v>-6.9846419212183097E-3</v>
      </c>
      <c r="N58" s="21"/>
      <c r="O58" s="19"/>
    </row>
    <row r="59" spans="2:15" ht="15.5" hidden="1" outlineLevel="1" thickTop="1" thickBot="1" x14ac:dyDescent="0.4">
      <c r="B59" s="3" t="str">
        <f t="shared" ref="B59:C59" si="22">B11</f>
        <v>TLEVISACPO</v>
      </c>
      <c r="C59" s="3" t="str">
        <f t="shared" si="22"/>
        <v>Grupo Televisa SAB CPO</v>
      </c>
      <c r="D59" s="108">
        <f>'Último rebalanceo'!K103</f>
        <v>102</v>
      </c>
      <c r="E59" s="4">
        <f>'Último rebalanceo'!L103</f>
        <v>16.638202368611037</v>
      </c>
      <c r="F59" s="5">
        <f t="shared" si="11"/>
        <v>1697.0966415983257</v>
      </c>
      <c r="G59" s="5">
        <f t="shared" si="15"/>
        <v>9.9600000000000009</v>
      </c>
      <c r="H59" s="5">
        <f t="shared" si="12"/>
        <v>1015.9200000000001</v>
      </c>
      <c r="I59" s="79">
        <v>0</v>
      </c>
      <c r="J59" s="6">
        <f t="shared" si="16"/>
        <v>-0.40137763808005267</v>
      </c>
      <c r="K59" s="6">
        <f t="shared" si="13"/>
        <v>1.8691675087630148E-2</v>
      </c>
      <c r="L59" s="6">
        <f t="shared" si="17"/>
        <v>2.3179951201555957E-2</v>
      </c>
      <c r="M59" s="22">
        <f t="shared" si="18"/>
        <v>-4.4882761139258091E-3</v>
      </c>
      <c r="N59" s="21"/>
      <c r="O59" s="19"/>
    </row>
    <row r="60" spans="2:15" ht="15.5" hidden="1" outlineLevel="1" thickTop="1" thickBot="1" x14ac:dyDescent="0.4">
      <c r="B60" s="3" t="str">
        <f t="shared" ref="B60:C60" si="23">B12</f>
        <v>CEMEXCPO</v>
      </c>
      <c r="C60" s="3" t="str">
        <f t="shared" si="23"/>
        <v>Cemex SA CPO</v>
      </c>
      <c r="D60" s="108">
        <f>'Último rebalanceo'!K104</f>
        <v>71</v>
      </c>
      <c r="E60" s="4">
        <f>'Último rebalanceo'!L104</f>
        <v>10.886807264820224</v>
      </c>
      <c r="F60" s="5">
        <f t="shared" si="11"/>
        <v>772.96331580223591</v>
      </c>
      <c r="G60" s="5">
        <f t="shared" si="15"/>
        <v>21.45</v>
      </c>
      <c r="H60" s="5">
        <f t="shared" si="12"/>
        <v>1522.95</v>
      </c>
      <c r="I60" s="79">
        <v>0</v>
      </c>
      <c r="J60" s="6">
        <f t="shared" si="16"/>
        <v>0.97027461570977014</v>
      </c>
      <c r="K60" s="6">
        <f t="shared" si="13"/>
        <v>2.8020401778394297E-2</v>
      </c>
      <c r="L60" s="6">
        <f t="shared" si="17"/>
        <v>3.4706757113173059E-2</v>
      </c>
      <c r="M60" s="22">
        <f t="shared" si="18"/>
        <v>-6.6863553347787617E-3</v>
      </c>
      <c r="N60" s="21"/>
      <c r="O60" s="19"/>
    </row>
    <row r="61" spans="2:15" ht="15.5" hidden="1" outlineLevel="1" thickTop="1" thickBot="1" x14ac:dyDescent="0.4">
      <c r="B61" s="3" t="str">
        <f t="shared" ref="B61:C61" si="24">B13</f>
        <v>PINFRA</v>
      </c>
      <c r="C61" s="3" t="str">
        <f t="shared" si="24"/>
        <v>Promotora y Operadora de Infraestructura SAB de CV</v>
      </c>
      <c r="D61" s="108">
        <f>'Último rebalanceo'!K105</f>
        <v>5</v>
      </c>
      <c r="E61" s="4">
        <f>'Último rebalanceo'!L105</f>
        <v>142.14872741699222</v>
      </c>
      <c r="F61" s="5">
        <f t="shared" si="11"/>
        <v>710.74363708496105</v>
      </c>
      <c r="G61" s="5">
        <f t="shared" si="15"/>
        <v>276.60000000000002</v>
      </c>
      <c r="H61" s="5">
        <f t="shared" si="12"/>
        <v>1383</v>
      </c>
      <c r="I61" s="79">
        <v>0</v>
      </c>
      <c r="J61" s="6">
        <f t="shared" si="16"/>
        <v>0.94584928775757526</v>
      </c>
      <c r="K61" s="6">
        <f t="shared" si="13"/>
        <v>2.5445494375730859E-2</v>
      </c>
      <c r="L61" s="6">
        <f t="shared" si="17"/>
        <v>3.0653922845431135E-2</v>
      </c>
      <c r="M61" s="22">
        <f t="shared" si="18"/>
        <v>-5.2084284697002763E-3</v>
      </c>
      <c r="N61" s="21"/>
      <c r="O61" s="19"/>
    </row>
    <row r="62" spans="2:15" ht="15.5" hidden="1" outlineLevel="1" thickTop="1" thickBot="1" x14ac:dyDescent="0.4">
      <c r="B62" s="3" t="str">
        <f t="shared" ref="B62:C62" si="25">B14</f>
        <v>GMEXICOB</v>
      </c>
      <c r="C62" s="3" t="str">
        <f t="shared" si="25"/>
        <v>Grupo Mexico SAB de CV B</v>
      </c>
      <c r="D62" s="108">
        <f>'Último rebalanceo'!K106</f>
        <v>12</v>
      </c>
      <c r="E62" s="4">
        <f>'Último rebalanceo'!L106</f>
        <v>75.837009429931641</v>
      </c>
      <c r="F62" s="5">
        <f t="shared" si="11"/>
        <v>910.04411315917969</v>
      </c>
      <c r="G62" s="5">
        <f t="shared" si="15"/>
        <v>191.2</v>
      </c>
      <c r="H62" s="5">
        <f t="shared" si="12"/>
        <v>2294.3999999999996</v>
      </c>
      <c r="I62" s="79">
        <v>0</v>
      </c>
      <c r="J62" s="6">
        <f t="shared" si="16"/>
        <v>1.5211964638011746</v>
      </c>
      <c r="K62" s="6">
        <f t="shared" si="13"/>
        <v>4.2214130365637655E-2</v>
      </c>
      <c r="L62" s="6">
        <f t="shared" si="17"/>
        <v>5.0854924494979886E-2</v>
      </c>
      <c r="M62" s="22">
        <f t="shared" si="18"/>
        <v>-8.6407941293422316E-3</v>
      </c>
      <c r="N62" s="21"/>
      <c r="O62" s="19"/>
    </row>
    <row r="63" spans="2:15" ht="15.5" hidden="1" outlineLevel="1" thickTop="1" thickBot="1" x14ac:dyDescent="0.4">
      <c r="B63" s="3" t="str">
        <f t="shared" ref="B63:C63" si="26">B15</f>
        <v>AC</v>
      </c>
      <c r="C63" s="3" t="str">
        <f t="shared" si="26"/>
        <v>Arca Continental, SAB de CV</v>
      </c>
      <c r="D63" s="108">
        <f>'Último rebalanceo'!K107</f>
        <v>5</v>
      </c>
      <c r="E63" s="4">
        <f>'Último rebalanceo'!L107</f>
        <v>159.22985119628908</v>
      </c>
      <c r="F63" s="5">
        <f t="shared" si="11"/>
        <v>796.14925598144532</v>
      </c>
      <c r="G63" s="5">
        <f t="shared" si="15"/>
        <v>209.87</v>
      </c>
      <c r="H63" s="5">
        <f t="shared" si="12"/>
        <v>1049.3499999999999</v>
      </c>
      <c r="I63" s="79">
        <v>0</v>
      </c>
      <c r="J63" s="6">
        <f t="shared" si="16"/>
        <v>0.31803175361436953</v>
      </c>
      <c r="K63" s="6">
        <f t="shared" si="13"/>
        <v>1.9306745859127384E-2</v>
      </c>
      <c r="L63" s="6">
        <f t="shared" si="17"/>
        <v>2.3258636252966855E-2</v>
      </c>
      <c r="M63" s="22">
        <f t="shared" si="18"/>
        <v>-3.951890393839471E-3</v>
      </c>
      <c r="N63" s="21"/>
      <c r="O63" s="19"/>
    </row>
    <row r="64" spans="2:15" ht="15.5" hidden="1" outlineLevel="1" thickTop="1" thickBot="1" x14ac:dyDescent="0.4">
      <c r="B64" s="3" t="str">
        <f t="shared" ref="B64:C64" si="27">B16</f>
        <v>FEMSAUBD</v>
      </c>
      <c r="C64" s="3" t="str">
        <f t="shared" si="27"/>
        <v>Fomento Economico Mexicano S.A.B. de C.V.</v>
      </c>
      <c r="D64" s="108">
        <f>'Último rebalanceo'!K108</f>
        <v>4</v>
      </c>
      <c r="E64" s="4">
        <f>'Último rebalanceo'!L108</f>
        <v>180.27619323730471</v>
      </c>
      <c r="F64" s="5">
        <f t="shared" si="11"/>
        <v>721.10477294921884</v>
      </c>
      <c r="G64" s="5">
        <f t="shared" si="15"/>
        <v>206.45</v>
      </c>
      <c r="H64" s="5">
        <f t="shared" si="12"/>
        <v>825.8</v>
      </c>
      <c r="I64" s="79">
        <v>0</v>
      </c>
      <c r="J64" s="6">
        <f t="shared" si="16"/>
        <v>0.14518726123887959</v>
      </c>
      <c r="K64" s="6">
        <f t="shared" si="13"/>
        <v>1.5193701558552814E-2</v>
      </c>
      <c r="L64" s="6">
        <f t="shared" si="17"/>
        <v>1.8303694494401324E-2</v>
      </c>
      <c r="M64" s="22">
        <f t="shared" si="18"/>
        <v>-3.1099929358485105E-3</v>
      </c>
      <c r="N64" s="21"/>
      <c r="O64" s="19"/>
    </row>
    <row r="65" spans="2:15" ht="15.5" hidden="1" outlineLevel="1" thickTop="1" thickBot="1" x14ac:dyDescent="0.4">
      <c r="B65" s="3" t="str">
        <f t="shared" ref="B65:C65" si="28">B17</f>
        <v>AMXB</v>
      </c>
      <c r="C65" s="3" t="str">
        <f t="shared" si="28"/>
        <v>America Movil SAB de CV B</v>
      </c>
      <c r="D65" s="108">
        <f>'Último rebalanceo'!K109</f>
        <v>51</v>
      </c>
      <c r="E65" s="4">
        <f>'Último rebalanceo'!L109</f>
        <v>18.667135916317211</v>
      </c>
      <c r="F65" s="5">
        <f t="shared" si="11"/>
        <v>952.02393173217774</v>
      </c>
      <c r="G65" s="5">
        <f t="shared" si="15"/>
        <v>23.21</v>
      </c>
      <c r="H65" s="5">
        <f t="shared" si="12"/>
        <v>1183.71</v>
      </c>
      <c r="I65" s="79">
        <v>0</v>
      </c>
      <c r="J65" s="6">
        <f t="shared" si="16"/>
        <v>0.24336160105374316</v>
      </c>
      <c r="K65" s="6">
        <f t="shared" si="13"/>
        <v>2.1778804155818059E-2</v>
      </c>
      <c r="L65" s="6">
        <f t="shared" si="17"/>
        <v>2.7265589378055101E-2</v>
      </c>
      <c r="M65" s="22">
        <f t="shared" si="18"/>
        <v>-5.4867852222370422E-3</v>
      </c>
      <c r="N65" s="21"/>
      <c r="O65" s="19"/>
    </row>
    <row r="66" spans="2:15" ht="15.5" hidden="1" outlineLevel="1" thickTop="1" thickBot="1" x14ac:dyDescent="0.4">
      <c r="B66" s="3" t="str">
        <f t="shared" ref="B66:C66" si="29">B18</f>
        <v>KOFUBL</v>
      </c>
      <c r="C66" s="3" t="str">
        <f t="shared" si="29"/>
        <v>Coca-Cola Femsa SAB de CV UBL</v>
      </c>
      <c r="D66" s="108">
        <f>'Último rebalanceo'!K110</f>
        <v>5</v>
      </c>
      <c r="E66" s="4">
        <f>'Último rebalanceo'!L110</f>
        <v>125.84394091796875</v>
      </c>
      <c r="F66" s="5">
        <f t="shared" si="11"/>
        <v>629.21970458984379</v>
      </c>
      <c r="G66" s="5">
        <f t="shared" si="15"/>
        <v>176.96</v>
      </c>
      <c r="H66" s="5">
        <f t="shared" si="12"/>
        <v>884.80000000000007</v>
      </c>
      <c r="I66" s="79">
        <v>0</v>
      </c>
      <c r="J66" s="6">
        <f t="shared" si="16"/>
        <v>0.4061860961216337</v>
      </c>
      <c r="K66" s="6">
        <f t="shared" si="13"/>
        <v>1.6279228795116896E-2</v>
      </c>
      <c r="L66" s="6">
        <f t="shared" si="17"/>
        <v>1.9611417884047341E-2</v>
      </c>
      <c r="M66" s="22">
        <f t="shared" si="18"/>
        <v>-3.3321890889304456E-3</v>
      </c>
      <c r="N66" s="21"/>
      <c r="O66" s="19"/>
    </row>
    <row r="67" spans="2:15" ht="15.5" hidden="1" outlineLevel="1" thickTop="1" thickBot="1" x14ac:dyDescent="0.4">
      <c r="B67" s="3" t="str">
        <f t="shared" ref="B67:C67" si="30">B19</f>
        <v>ALSEA</v>
      </c>
      <c r="C67" s="3" t="str">
        <f t="shared" si="30"/>
        <v>Alsea SA</v>
      </c>
      <c r="D67" s="108">
        <f>'Último rebalanceo'!K111</f>
        <v>19</v>
      </c>
      <c r="E67" s="4">
        <f>'Último rebalanceo'!L111</f>
        <v>47.058091073287166</v>
      </c>
      <c r="F67" s="5">
        <f t="shared" si="11"/>
        <v>894.1037303924561</v>
      </c>
      <c r="G67" s="5">
        <f t="shared" si="15"/>
        <v>51.42</v>
      </c>
      <c r="H67" s="5">
        <f t="shared" si="12"/>
        <v>976.98</v>
      </c>
      <c r="I67" s="79">
        <v>0</v>
      </c>
      <c r="J67" s="6">
        <f t="shared" si="16"/>
        <v>9.2692007415254185E-2</v>
      </c>
      <c r="K67" s="6">
        <f t="shared" si="13"/>
        <v>1.7975227111497856E-2</v>
      </c>
      <c r="L67" s="6">
        <f t="shared" si="17"/>
        <v>2.2794283625626452E-2</v>
      </c>
      <c r="M67" s="22">
        <f t="shared" si="18"/>
        <v>-4.819056514128596E-3</v>
      </c>
      <c r="N67" s="21"/>
      <c r="O67" s="19"/>
    </row>
    <row r="68" spans="2:15" ht="15.5" hidden="1" outlineLevel="1" thickTop="1" thickBot="1" x14ac:dyDescent="0.4">
      <c r="B68" s="3" t="str">
        <f t="shared" ref="B68:C68" si="31">B20</f>
        <v>GRUMAB</v>
      </c>
      <c r="C68" s="3" t="str">
        <f t="shared" si="31"/>
        <v>Gruma SAB B</v>
      </c>
      <c r="D68" s="108">
        <f>'Último rebalanceo'!K112</f>
        <v>3</v>
      </c>
      <c r="E68" s="4">
        <f>'Último rebalanceo'!L112</f>
        <v>251.24565511067712</v>
      </c>
      <c r="F68" s="5">
        <f t="shared" si="11"/>
        <v>753.73696533203133</v>
      </c>
      <c r="G68" s="5">
        <f t="shared" si="15"/>
        <v>303.16000000000003</v>
      </c>
      <c r="H68" s="5">
        <f t="shared" si="12"/>
        <v>909.48</v>
      </c>
      <c r="I68" s="79">
        <v>0</v>
      </c>
      <c r="J68" s="6">
        <f t="shared" si="16"/>
        <v>0.20662783150002695</v>
      </c>
      <c r="K68" s="6">
        <f t="shared" si="13"/>
        <v>1.6733310357801665E-2</v>
      </c>
      <c r="L68" s="6">
        <f t="shared" si="17"/>
        <v>2.0158445227377232E-2</v>
      </c>
      <c r="M68" s="22">
        <f t="shared" si="18"/>
        <v>-3.4251348695755676E-3</v>
      </c>
      <c r="N68" s="21"/>
      <c r="O68" s="19"/>
    </row>
    <row r="69" spans="2:15" ht="15.5" hidden="1" outlineLevel="1" thickTop="1" thickBot="1" x14ac:dyDescent="0.4">
      <c r="B69" s="3" t="str">
        <f t="shared" ref="B69:C69" si="32">B21</f>
        <v>ASURB</v>
      </c>
      <c r="C69" s="3" t="str">
        <f t="shared" si="32"/>
        <v>Grupo Aeroportuario del Sureste SAB de CV B</v>
      </c>
      <c r="D69" s="108">
        <f>'Último rebalanceo'!K113</f>
        <v>2</v>
      </c>
      <c r="E69" s="4">
        <f>'Último rebalanceo'!L113</f>
        <v>366.07857259114581</v>
      </c>
      <c r="F69" s="5">
        <f t="shared" si="11"/>
        <v>732.15714518229163</v>
      </c>
      <c r="G69" s="5">
        <f t="shared" si="15"/>
        <v>532.34</v>
      </c>
      <c r="H69" s="5">
        <f t="shared" si="12"/>
        <v>1064.68</v>
      </c>
      <c r="I69" s="79">
        <v>0</v>
      </c>
      <c r="J69" s="6">
        <f t="shared" si="16"/>
        <v>0.45416869452925623</v>
      </c>
      <c r="K69" s="6">
        <f t="shared" si="13"/>
        <v>1.9588798952966835E-2</v>
      </c>
      <c r="L69" s="6">
        <f t="shared" si="17"/>
        <v>2.3598422686242678E-2</v>
      </c>
      <c r="M69" s="22">
        <f t="shared" si="18"/>
        <v>-4.0096237332758432E-3</v>
      </c>
      <c r="N69" s="21"/>
      <c r="O69" s="19"/>
    </row>
    <row r="70" spans="2:15" ht="15.5" hidden="1" outlineLevel="1" thickTop="1" thickBot="1" x14ac:dyDescent="0.4">
      <c r="B70" s="3" t="str">
        <f t="shared" ref="B70:C70" si="33">B22</f>
        <v>BIMBOA</v>
      </c>
      <c r="C70" s="3" t="str">
        <f t="shared" si="33"/>
        <v>Grupo Bimbo S.A.B.</v>
      </c>
      <c r="D70" s="108">
        <f>'Último rebalanceo'!K114</f>
        <v>22</v>
      </c>
      <c r="E70" s="4">
        <f>'Último rebalanceo'!L114</f>
        <v>61.109378296678727</v>
      </c>
      <c r="F70" s="5">
        <f t="shared" si="11"/>
        <v>1344.4063225269319</v>
      </c>
      <c r="G70" s="5">
        <f t="shared" si="15"/>
        <v>59.48</v>
      </c>
      <c r="H70" s="5">
        <f t="shared" si="12"/>
        <v>1308.56</v>
      </c>
      <c r="I70" s="79">
        <v>0</v>
      </c>
      <c r="J70" s="6">
        <f t="shared" si="16"/>
        <v>-2.6663309987679629E-2</v>
      </c>
      <c r="K70" s="6">
        <f t="shared" si="13"/>
        <v>2.4075890180987977E-2</v>
      </c>
      <c r="L70" s="6">
        <f t="shared" si="17"/>
        <v>3.032233738934462E-2</v>
      </c>
      <c r="M70" s="22">
        <f t="shared" si="18"/>
        <v>-6.2464472083566432E-3</v>
      </c>
      <c r="N70" s="21"/>
      <c r="O70" s="19"/>
    </row>
    <row r="71" spans="2:15" ht="15.5" hidden="1" outlineLevel="1" thickTop="1" thickBot="1" x14ac:dyDescent="0.4">
      <c r="B71" s="3" t="str">
        <f t="shared" ref="B71:C71" si="34">B23</f>
        <v>PE&amp;OLES</v>
      </c>
      <c r="C71" s="3" t="str">
        <f t="shared" si="34"/>
        <v>Industrias Penoles</v>
      </c>
      <c r="D71" s="108">
        <f>'Último rebalanceo'!K115</f>
        <v>2</v>
      </c>
      <c r="E71" s="4">
        <f>'Último rebalanceo'!L115</f>
        <v>261.60172780354816</v>
      </c>
      <c r="F71" s="5">
        <f t="shared" si="11"/>
        <v>523.20345560709632</v>
      </c>
      <c r="G71" s="5">
        <f t="shared" si="15"/>
        <v>880.7</v>
      </c>
      <c r="H71" s="5">
        <f t="shared" si="12"/>
        <v>1761.4</v>
      </c>
      <c r="I71" s="79">
        <v>0</v>
      </c>
      <c r="J71" s="6">
        <f t="shared" si="16"/>
        <v>2.366567978715219</v>
      </c>
      <c r="K71" s="6">
        <f t="shared" si="13"/>
        <v>3.24075877031181E-2</v>
      </c>
      <c r="L71" s="6">
        <f t="shared" si="17"/>
        <v>3.9041084381737097E-2</v>
      </c>
      <c r="M71" s="22">
        <f t="shared" si="18"/>
        <v>-6.6334966786189969E-3</v>
      </c>
      <c r="N71" s="21"/>
      <c r="O71" s="19"/>
    </row>
    <row r="72" spans="2:15" ht="15.5" hidden="1" outlineLevel="1" thickTop="1" thickBot="1" x14ac:dyDescent="0.4">
      <c r="B72" s="3" t="str">
        <f t="shared" ref="B72:C72" si="35">B24</f>
        <v>BBAJIOO</v>
      </c>
      <c r="C72" s="3" t="str">
        <f t="shared" si="35"/>
        <v>Banco del Bajio, S.A.</v>
      </c>
      <c r="D72" s="108">
        <f>'Último rebalanceo'!K116</f>
        <v>25</v>
      </c>
      <c r="E72" s="4">
        <f>'Último rebalanceo'!L116</f>
        <v>39.656403991699214</v>
      </c>
      <c r="F72" s="5">
        <f t="shared" si="11"/>
        <v>991.41009979248031</v>
      </c>
      <c r="G72" s="5">
        <f t="shared" si="15"/>
        <v>54.68</v>
      </c>
      <c r="H72" s="5">
        <f t="shared" si="12"/>
        <v>1367</v>
      </c>
      <c r="I72" s="79">
        <v>0</v>
      </c>
      <c r="J72" s="6">
        <f t="shared" si="16"/>
        <v>0.37884413350856261</v>
      </c>
      <c r="K72" s="6">
        <f t="shared" si="13"/>
        <v>2.5151114108188058E-2</v>
      </c>
      <c r="L72" s="6">
        <f t="shared" si="17"/>
        <v>3.1511257433761777E-2</v>
      </c>
      <c r="M72" s="22">
        <f t="shared" si="18"/>
        <v>-6.3601433255737194E-3</v>
      </c>
      <c r="N72" s="21"/>
      <c r="O72" s="19"/>
    </row>
    <row r="73" spans="2:15" ht="15.5" hidden="1" outlineLevel="1" thickTop="1" thickBot="1" x14ac:dyDescent="0.4">
      <c r="B73" s="3" t="str">
        <f t="shared" ref="B73:C73" si="36">B25</f>
        <v>BOLSAA</v>
      </c>
      <c r="C73" s="3" t="str">
        <f t="shared" si="36"/>
        <v>Bolsa Mexicana de Valores SA de CV</v>
      </c>
      <c r="D73" s="108">
        <f>'Último rebalanceo'!K117</f>
        <v>0</v>
      </c>
      <c r="E73" s="4">
        <f>'Último rebalanceo'!L117</f>
        <v>0</v>
      </c>
      <c r="F73" s="5">
        <f t="shared" si="11"/>
        <v>0</v>
      </c>
      <c r="G73" s="5">
        <f t="shared" si="15"/>
        <v>39.35</v>
      </c>
      <c r="H73" s="5">
        <f t="shared" si="12"/>
        <v>0</v>
      </c>
      <c r="I73" s="79">
        <v>0</v>
      </c>
      <c r="J73" s="6" t="e">
        <f t="shared" si="16"/>
        <v>#DIV/0!</v>
      </c>
      <c r="K73" s="6">
        <f t="shared" si="13"/>
        <v>0</v>
      </c>
      <c r="L73" s="6">
        <f t="shared" si="17"/>
        <v>2.7037735201011697E-2</v>
      </c>
      <c r="M73" s="22">
        <f t="shared" si="18"/>
        <v>-2.7037735201011697E-2</v>
      </c>
      <c r="N73" s="21"/>
      <c r="O73" s="19"/>
    </row>
    <row r="74" spans="2:15" ht="15.5" hidden="1" outlineLevel="1" thickTop="1" thickBot="1" x14ac:dyDescent="0.4">
      <c r="B74" s="3" t="str">
        <f t="shared" ref="B74:C74" si="37">B26</f>
        <v>VESTA</v>
      </c>
      <c r="C74" s="3" t="str">
        <f t="shared" si="37"/>
        <v>Corporacion Inmobiliaria Vesta, S.A.B. DE C.V.</v>
      </c>
      <c r="D74" s="108">
        <f>'Último rebalanceo'!K118</f>
        <v>30</v>
      </c>
      <c r="E74" s="4">
        <f>'Último rebalanceo'!L118</f>
        <v>33.603732856114704</v>
      </c>
      <c r="F74" s="5">
        <f t="shared" si="11"/>
        <v>1008.1119856834412</v>
      </c>
      <c r="G74" s="5">
        <f t="shared" si="15"/>
        <v>62.18</v>
      </c>
      <c r="H74" s="5">
        <f t="shared" si="12"/>
        <v>1865.4</v>
      </c>
      <c r="I74" s="79">
        <v>0</v>
      </c>
      <c r="J74" s="6">
        <f t="shared" si="16"/>
        <v>0.85038966552447803</v>
      </c>
      <c r="K74" s="6">
        <f t="shared" si="13"/>
        <v>3.4321059442146307E-2</v>
      </c>
      <c r="L74" s="6">
        <f t="shared" si="17"/>
        <v>2.20513194218818E-2</v>
      </c>
      <c r="M74" s="22">
        <f t="shared" si="18"/>
        <v>1.2269740020264507E-2</v>
      </c>
      <c r="N74" s="21"/>
      <c r="O74" s="19"/>
    </row>
    <row r="75" spans="2:15" ht="15.5" hidden="1" outlineLevel="1" thickTop="1" thickBot="1" x14ac:dyDescent="0.4">
      <c r="B75" s="3" t="str">
        <f t="shared" ref="B75:C75" si="38">B27</f>
        <v>LIVEPOLC-1</v>
      </c>
      <c r="C75" s="3" t="str">
        <f t="shared" si="38"/>
        <v>El Puerto de Liverpool SAB de CV</v>
      </c>
      <c r="D75" s="108">
        <f>'Último rebalanceo'!K119</f>
        <v>15</v>
      </c>
      <c r="E75" s="4">
        <f>'Último rebalanceo'!L119</f>
        <v>43.853696187337242</v>
      </c>
      <c r="F75" s="5">
        <f t="shared" si="11"/>
        <v>657.80544281005859</v>
      </c>
      <c r="G75" s="5">
        <f t="shared" si="15"/>
        <v>103.44</v>
      </c>
      <c r="H75" s="5">
        <f t="shared" si="12"/>
        <v>1551.6</v>
      </c>
      <c r="I75" s="79">
        <v>0</v>
      </c>
      <c r="J75" s="6">
        <f t="shared" si="16"/>
        <v>1.3587521461843917</v>
      </c>
      <c r="K75" s="6">
        <f t="shared" si="13"/>
        <v>2.8547526444963122E-2</v>
      </c>
      <c r="L75" s="6">
        <f t="shared" si="17"/>
        <v>2.9805454178386231E-2</v>
      </c>
      <c r="M75" s="22">
        <f t="shared" si="18"/>
        <v>-1.2579277334231094E-3</v>
      </c>
      <c r="N75" s="21"/>
      <c r="O75" s="19"/>
    </row>
    <row r="76" spans="2:15" ht="15.5" hidden="1" outlineLevel="1" thickTop="1" thickBot="1" x14ac:dyDescent="0.4">
      <c r="B76" s="3" t="str">
        <f t="shared" ref="B76:C76" si="39">B28</f>
        <v>LABB</v>
      </c>
      <c r="C76" s="3" t="str">
        <f t="shared" si="39"/>
        <v>Genomma Lab Internacional SA de CV</v>
      </c>
      <c r="D76" s="108">
        <f>'Último rebalanceo'!K120</f>
        <v>13</v>
      </c>
      <c r="E76" s="4">
        <f>'Último rebalanceo'!L120</f>
        <v>115.2519645338792</v>
      </c>
      <c r="F76" s="5">
        <f t="shared" si="11"/>
        <v>1498.2755389404297</v>
      </c>
      <c r="G76" s="5">
        <f t="shared" si="15"/>
        <v>16.48</v>
      </c>
      <c r="H76" s="5">
        <f t="shared" si="12"/>
        <v>214.24</v>
      </c>
      <c r="I76" s="79">
        <v>0</v>
      </c>
      <c r="J76" s="6">
        <f t="shared" si="16"/>
        <v>-0.85700894499585234</v>
      </c>
      <c r="K76" s="6">
        <f t="shared" si="13"/>
        <v>3.9417517823981049E-3</v>
      </c>
      <c r="L76" s="6">
        <f t="shared" si="17"/>
        <v>3.5066491869341784E-2</v>
      </c>
      <c r="M76" s="22">
        <f t="shared" si="18"/>
        <v>-3.1124740086943679E-2</v>
      </c>
      <c r="N76" s="21"/>
      <c r="O76" s="19"/>
    </row>
    <row r="77" spans="2:15" ht="15.5" hidden="1" outlineLevel="1" thickTop="1" thickBot="1" x14ac:dyDescent="0.4">
      <c r="B77" s="3" t="str">
        <f t="shared" ref="B77:C77" si="40">B29</f>
        <v>GCARSOA1</v>
      </c>
      <c r="C77" s="3" t="str">
        <f t="shared" si="40"/>
        <v>Grupo Carso SAB de CV</v>
      </c>
      <c r="D77" s="108">
        <f>'Último rebalanceo'!K121</f>
        <v>93</v>
      </c>
      <c r="E77" s="4">
        <f>'Último rebalanceo'!L121</f>
        <v>16.045466130164364</v>
      </c>
      <c r="F77" s="5">
        <f t="shared" si="11"/>
        <v>1492.2283501052859</v>
      </c>
      <c r="G77" s="5">
        <f t="shared" si="15"/>
        <v>132.81</v>
      </c>
      <c r="H77" s="5">
        <f t="shared" si="12"/>
        <v>12351.33</v>
      </c>
      <c r="I77" s="79">
        <v>0</v>
      </c>
      <c r="J77" s="6">
        <f t="shared" si="16"/>
        <v>7.2771045055728489</v>
      </c>
      <c r="K77" s="6">
        <f t="shared" si="13"/>
        <v>0.227249239369339</v>
      </c>
      <c r="L77" s="6">
        <f t="shared" si="17"/>
        <v>2.9437075148963911E-2</v>
      </c>
      <c r="M77" s="22">
        <f t="shared" si="18"/>
        <v>0.19781216422037509</v>
      </c>
      <c r="N77" s="21"/>
      <c r="O77" s="19"/>
    </row>
    <row r="78" spans="2:15" ht="15.5" hidden="1" outlineLevel="1" thickTop="1" thickBot="1" x14ac:dyDescent="0.4">
      <c r="B78" s="3" t="str">
        <f t="shared" ref="B78:C78" si="41">B30</f>
        <v>GCC</v>
      </c>
      <c r="C78" s="3" t="str">
        <f t="shared" si="41"/>
        <v>Grupo Cementos de Chihuahua SAB de CV</v>
      </c>
      <c r="D78" s="108">
        <f>'Último rebalanceo'!K122</f>
        <v>10</v>
      </c>
      <c r="E78" s="4">
        <f>'Último rebalanceo'!L122</f>
        <v>84.512538563121453</v>
      </c>
      <c r="F78" s="5">
        <f t="shared" si="11"/>
        <v>845.1253856312145</v>
      </c>
      <c r="G78" s="5">
        <f t="shared" si="15"/>
        <v>206.4</v>
      </c>
      <c r="H78" s="5">
        <f t="shared" si="12"/>
        <v>2064</v>
      </c>
      <c r="I78" s="79">
        <v>0</v>
      </c>
      <c r="J78" s="6">
        <f t="shared" si="16"/>
        <v>1.4422411574566798</v>
      </c>
      <c r="K78" s="6">
        <f t="shared" si="13"/>
        <v>3.7975054513021321E-2</v>
      </c>
      <c r="L78" s="6">
        <f t="shared" si="17"/>
        <v>3.20237076840773E-2</v>
      </c>
      <c r="M78" s="22">
        <f t="shared" si="18"/>
        <v>5.9513468289440208E-3</v>
      </c>
      <c r="N78" s="21"/>
      <c r="O78" s="19"/>
    </row>
    <row r="79" spans="2:15" ht="15.5" hidden="1" outlineLevel="1" thickTop="1" thickBot="1" x14ac:dyDescent="0.4">
      <c r="B79" s="3" t="str">
        <f t="shared" ref="B79:C79" si="42">B31</f>
        <v>GFNORTEO</v>
      </c>
      <c r="C79" s="3" t="str">
        <f t="shared" si="42"/>
        <v>Grupo Financiero Banorte O</v>
      </c>
      <c r="D79" s="108">
        <f>'Último rebalanceo'!K123</f>
        <v>7</v>
      </c>
      <c r="E79" s="4">
        <f>'Último rebalanceo'!L123</f>
        <v>148.61851183832914</v>
      </c>
      <c r="F79" s="5">
        <f t="shared" si="11"/>
        <v>1040.329582868304</v>
      </c>
      <c r="G79" s="5">
        <f t="shared" si="15"/>
        <v>189.68</v>
      </c>
      <c r="H79" s="5">
        <f t="shared" si="12"/>
        <v>1327.76</v>
      </c>
      <c r="I79" s="79">
        <v>0</v>
      </c>
      <c r="J79" s="6">
        <f t="shared" si="16"/>
        <v>0.27628784364587466</v>
      </c>
      <c r="K79" s="6">
        <f t="shared" si="13"/>
        <v>2.4429146502039339E-2</v>
      </c>
      <c r="L79" s="6">
        <f t="shared" si="17"/>
        <v>3.36337589895669E-2</v>
      </c>
      <c r="M79" s="22">
        <f t="shared" si="18"/>
        <v>-9.2046124875275609E-3</v>
      </c>
      <c r="N79" s="21"/>
      <c r="O79" s="19"/>
    </row>
    <row r="80" spans="2:15" ht="15.5" hidden="1" outlineLevel="1" thickTop="1" thickBot="1" x14ac:dyDescent="0.4">
      <c r="B80" s="3" t="str">
        <f t="shared" ref="B80:C80" si="43">B32</f>
        <v>GFINBURO</v>
      </c>
      <c r="C80" s="3" t="str">
        <f t="shared" si="43"/>
        <v>Grupo Financiero Inbursa O</v>
      </c>
      <c r="D80" s="108">
        <f>'Último rebalanceo'!K124</f>
        <v>8</v>
      </c>
      <c r="E80" s="4">
        <f>'Último rebalanceo'!L124</f>
        <v>125.92789022445675</v>
      </c>
      <c r="F80" s="5">
        <f t="shared" si="11"/>
        <v>1007.423121795654</v>
      </c>
      <c r="G80" s="5">
        <f t="shared" si="15"/>
        <v>43</v>
      </c>
      <c r="H80" s="5">
        <f t="shared" si="12"/>
        <v>344</v>
      </c>
      <c r="I80" s="79">
        <v>0</v>
      </c>
      <c r="J80" s="6">
        <f t="shared" si="16"/>
        <v>-0.65853473822712494</v>
      </c>
      <c r="K80" s="6">
        <f t="shared" si="13"/>
        <v>6.3291757521702205E-3</v>
      </c>
      <c r="L80" s="6">
        <f t="shared" si="17"/>
        <v>2.7639509608281002E-2</v>
      </c>
      <c r="M80" s="22">
        <f t="shared" si="18"/>
        <v>-2.131033385611078E-2</v>
      </c>
      <c r="N80" s="21"/>
      <c r="O80" s="19"/>
    </row>
    <row r="81" spans="2:16" ht="15.5" hidden="1" outlineLevel="1" thickTop="1" thickBot="1" x14ac:dyDescent="0.4">
      <c r="B81" s="3" t="str">
        <f t="shared" ref="B81:C81" si="44">B33</f>
        <v>KIMBERA</v>
      </c>
      <c r="C81" s="3" t="str">
        <f t="shared" si="44"/>
        <v>Kimberly Clark de Mexico S.A.B. de C.V. A</v>
      </c>
      <c r="D81" s="108">
        <f>'Último rebalanceo'!K125</f>
        <v>28</v>
      </c>
      <c r="E81" s="4">
        <f>'Último rebalanceo'!L125</f>
        <v>24.241750056403028</v>
      </c>
      <c r="F81" s="5">
        <f t="shared" si="11"/>
        <v>678.7690015792848</v>
      </c>
      <c r="G81" s="5">
        <f t="shared" si="15"/>
        <v>39.5</v>
      </c>
      <c r="H81" s="5">
        <f t="shared" si="12"/>
        <v>1106</v>
      </c>
      <c r="I81" s="79">
        <v>0</v>
      </c>
      <c r="J81" s="6">
        <f t="shared" si="16"/>
        <v>0.62942031446144608</v>
      </c>
      <c r="K81" s="6">
        <f t="shared" si="13"/>
        <v>2.0349035993896116E-2</v>
      </c>
      <c r="L81" s="6">
        <f t="shared" si="17"/>
        <v>3.5020389078655963E-2</v>
      </c>
      <c r="M81" s="22">
        <f t="shared" si="18"/>
        <v>-1.4671353084759847E-2</v>
      </c>
      <c r="N81" s="21"/>
      <c r="O81" s="19"/>
    </row>
    <row r="82" spans="2:16" ht="15.5" hidden="1" outlineLevel="1" thickTop="1" thickBot="1" x14ac:dyDescent="0.4">
      <c r="B82" s="3" t="str">
        <f t="shared" ref="B82:C82" si="45">B34</f>
        <v>MEGACPO</v>
      </c>
      <c r="C82" s="3" t="str">
        <f t="shared" si="45"/>
        <v>Megacable Holdings SAB de CV</v>
      </c>
      <c r="D82" s="108">
        <f>'Último rebalanceo'!K126</f>
        <v>39</v>
      </c>
      <c r="E82" s="4">
        <f>'Último rebalanceo'!L126</f>
        <v>33.423031410804157</v>
      </c>
      <c r="F82" s="5">
        <f t="shared" si="11"/>
        <v>1303.498225021362</v>
      </c>
      <c r="G82" s="5">
        <f t="shared" si="15"/>
        <v>61.15</v>
      </c>
      <c r="H82" s="5">
        <f t="shared" si="12"/>
        <v>2384.85</v>
      </c>
      <c r="I82" s="79">
        <v>0</v>
      </c>
      <c r="J82" s="6">
        <f t="shared" si="16"/>
        <v>0.82957671458349425</v>
      </c>
      <c r="K82" s="6">
        <f t="shared" si="13"/>
        <v>4.3878298815590557E-2</v>
      </c>
      <c r="L82" s="6">
        <f t="shared" si="17"/>
        <v>2.0330665748352645E-2</v>
      </c>
      <c r="M82" s="22">
        <f t="shared" si="18"/>
        <v>2.3547633067237912E-2</v>
      </c>
      <c r="N82" s="21"/>
      <c r="O82" s="19"/>
    </row>
    <row r="83" spans="2:16" ht="15.5" hidden="1" outlineLevel="1" thickTop="1" thickBot="1" x14ac:dyDescent="0.4">
      <c r="B83" s="3" t="str">
        <f t="shared" ref="B83:C83" si="46">B35</f>
        <v>Q</v>
      </c>
      <c r="C83" s="3" t="str">
        <f t="shared" si="46"/>
        <v>Qualitas Controladora S.A.B de C.V.</v>
      </c>
      <c r="D83" s="108">
        <f>'Último rebalanceo'!K127</f>
        <v>15</v>
      </c>
      <c r="E83" s="4">
        <f>'Último rebalanceo'!L127</f>
        <v>42.989203861781526</v>
      </c>
      <c r="F83" s="5">
        <f t="shared" si="11"/>
        <v>644.83805792672285</v>
      </c>
      <c r="G83" s="5">
        <f t="shared" si="15"/>
        <v>174.21</v>
      </c>
      <c r="H83" s="5">
        <f t="shared" si="12"/>
        <v>2613.15</v>
      </c>
      <c r="I83" s="79">
        <v>0</v>
      </c>
      <c r="J83" s="6">
        <f t="shared" si="16"/>
        <v>3.0524128002025419</v>
      </c>
      <c r="K83" s="6">
        <f t="shared" si="13"/>
        <v>4.8078737258091898E-2</v>
      </c>
      <c r="L83" s="6">
        <f t="shared" si="17"/>
        <v>3.4751973311730314E-2</v>
      </c>
      <c r="M83" s="22">
        <f t="shared" si="18"/>
        <v>1.3326763946361585E-2</v>
      </c>
      <c r="N83" s="21"/>
      <c r="O83" s="19"/>
    </row>
    <row r="84" spans="2:16" ht="15.5" hidden="1" outlineLevel="1" thickTop="1" thickBot="1" x14ac:dyDescent="0.4">
      <c r="B84" s="3" t="str">
        <f t="shared" ref="B84:C84" si="47">B36</f>
        <v>RA</v>
      </c>
      <c r="C84" s="3" t="str">
        <f t="shared" si="47"/>
        <v>Regional, S.A. de C.V.</v>
      </c>
      <c r="D84" s="108">
        <f>'Último rebalanceo'!K128</f>
        <v>9</v>
      </c>
      <c r="E84" s="4">
        <f>'Último rebalanceo'!L128</f>
        <v>143.00263402303059</v>
      </c>
      <c r="F84" s="5">
        <f t="shared" si="11"/>
        <v>1287.0237062072754</v>
      </c>
      <c r="G84" s="5">
        <f t="shared" si="15"/>
        <v>147.19999999999999</v>
      </c>
      <c r="H84" s="5">
        <f t="shared" si="12"/>
        <v>1324.8</v>
      </c>
      <c r="I84" s="79">
        <v>0</v>
      </c>
      <c r="J84" s="6">
        <f t="shared" si="16"/>
        <v>2.9351668979002321E-2</v>
      </c>
      <c r="K84" s="6">
        <f t="shared" si="13"/>
        <v>2.4374686152543918E-2</v>
      </c>
      <c r="L84" s="6">
        <f t="shared" si="17"/>
        <v>3.2626590331507326E-2</v>
      </c>
      <c r="M84" s="22">
        <f t="shared" si="18"/>
        <v>-8.2519041789634075E-3</v>
      </c>
      <c r="N84" s="21"/>
      <c r="O84" s="19"/>
    </row>
    <row r="85" spans="2:16" ht="15.5" hidden="1" outlineLevel="1" thickTop="1" thickBot="1" x14ac:dyDescent="0.4">
      <c r="B85" s="3" t="str">
        <f t="shared" ref="B85:C85" si="48">B37</f>
        <v>GENTERA</v>
      </c>
      <c r="C85" s="3" t="str">
        <f t="shared" si="48"/>
        <v>Gentera SAB de CV</v>
      </c>
      <c r="D85" s="108">
        <f>'Último rebalanceo'!K129</f>
        <v>10</v>
      </c>
      <c r="E85" s="4">
        <f>'Último rebalanceo'!L129</f>
        <v>115.96781555175781</v>
      </c>
      <c r="F85" s="5">
        <f t="shared" si="11"/>
        <v>1159.678155517578</v>
      </c>
      <c r="G85" s="5">
        <f t="shared" si="15"/>
        <v>45.76</v>
      </c>
      <c r="H85" s="5">
        <f t="shared" si="12"/>
        <v>457.59999999999997</v>
      </c>
      <c r="I85" s="79">
        <v>0</v>
      </c>
      <c r="J85" s="6">
        <f t="shared" si="16"/>
        <v>-0.6054077609181423</v>
      </c>
      <c r="K85" s="6">
        <f t="shared" si="13"/>
        <v>8.4192756517241073E-3</v>
      </c>
      <c r="L85" s="6">
        <f t="shared" si="17"/>
        <v>1.7242443716498763E-2</v>
      </c>
      <c r="M85" s="22">
        <f t="shared" si="18"/>
        <v>-8.8231680647746554E-3</v>
      </c>
      <c r="N85" s="21"/>
      <c r="O85" s="19"/>
    </row>
    <row r="86" spans="2:16" ht="15.5" hidden="1" outlineLevel="1" thickTop="1" thickBot="1" x14ac:dyDescent="0.4">
      <c r="B86" s="3" t="str">
        <f t="shared" ref="B86:C86" si="49">B38</f>
        <v>CHDRAUIB</v>
      </c>
      <c r="C86" s="3" t="str">
        <f t="shared" si="49"/>
        <v>Grupo Comercial Chedraui SA de CV</v>
      </c>
      <c r="D86" s="108">
        <f>'Último rebalanceo'!K130</f>
        <v>16</v>
      </c>
      <c r="E86" s="4">
        <f>'Último rebalanceo'!L130</f>
        <v>19.186742407935007</v>
      </c>
      <c r="F86" s="5">
        <f t="shared" si="11"/>
        <v>306.98787852696012</v>
      </c>
      <c r="G86" s="5">
        <f t="shared" si="15"/>
        <v>102.29</v>
      </c>
      <c r="H86" s="5">
        <f t="shared" si="12"/>
        <v>1636.64</v>
      </c>
      <c r="I86" s="79">
        <v>0</v>
      </c>
      <c r="J86" s="6">
        <f t="shared" si="16"/>
        <v>4.3312854170438131</v>
      </c>
      <c r="K86" s="6">
        <f t="shared" si="13"/>
        <v>3.0112157566953113E-2</v>
      </c>
      <c r="L86" s="6">
        <f t="shared" si="17"/>
        <v>1.1336188603973793E-2</v>
      </c>
      <c r="M86" s="22">
        <f t="shared" si="18"/>
        <v>1.8775968962979318E-2</v>
      </c>
      <c r="N86" s="21"/>
      <c r="O86" s="19"/>
    </row>
    <row r="87" spans="2:16" ht="15.5" hidden="1" outlineLevel="1" thickTop="1" thickBot="1" x14ac:dyDescent="0.4">
      <c r="B87" s="3" t="str">
        <f t="shared" ref="B87:C87" si="50">B39</f>
        <v>LACOMERUBC</v>
      </c>
      <c r="C87" s="3" t="str">
        <f t="shared" si="50"/>
        <v>La Comer, S.A.B. de C.V.</v>
      </c>
      <c r="D87" s="108">
        <f>'Último rebalanceo'!K131</f>
        <v>5</v>
      </c>
      <c r="E87" s="4">
        <f>'Último rebalanceo'!L131</f>
        <v>103.69424267578128</v>
      </c>
      <c r="F87" s="5">
        <f t="shared" si="11"/>
        <v>518.47121337890644</v>
      </c>
      <c r="G87" s="5">
        <f t="shared" si="15"/>
        <v>39.700000000000003</v>
      </c>
      <c r="H87" s="5">
        <f t="shared" si="12"/>
        <v>198.5</v>
      </c>
      <c r="I87" s="79">
        <v>0</v>
      </c>
      <c r="J87" s="6">
        <f t="shared" si="16"/>
        <v>-0.61714364292982782</v>
      </c>
      <c r="K87" s="6">
        <f t="shared" si="13"/>
        <v>3.6521551942028745E-3</v>
      </c>
      <c r="L87" s="6">
        <f t="shared" si="17"/>
        <v>1.9358739127403872E-2</v>
      </c>
      <c r="M87" s="22">
        <f t="shared" si="18"/>
        <v>-1.5706583933200999E-2</v>
      </c>
      <c r="N87" s="21"/>
      <c r="O87" s="19"/>
    </row>
    <row r="88" spans="2:16" ht="15.5" hidden="1" outlineLevel="1" thickTop="1" thickBot="1" x14ac:dyDescent="0.4">
      <c r="B88" s="3" t="str">
        <f t="shared" ref="B88:C88" si="51">B40</f>
        <v>VOLARA</v>
      </c>
      <c r="C88" s="3" t="str">
        <f t="shared" si="51"/>
        <v>Controladora Vuela Compania de Aviacion SAB de CV</v>
      </c>
      <c r="D88" s="108">
        <f>'Último rebalanceo'!K132</f>
        <v>21</v>
      </c>
      <c r="E88" s="4">
        <f>'Último rebalanceo'!L132</f>
        <v>38.909524047619051</v>
      </c>
      <c r="F88" s="5">
        <f t="shared" si="11"/>
        <v>817.10000500000012</v>
      </c>
      <c r="G88" s="5">
        <f t="shared" si="15"/>
        <v>13.06</v>
      </c>
      <c r="H88" s="5">
        <f t="shared" si="12"/>
        <v>274.26</v>
      </c>
      <c r="I88" s="79">
        <v>0</v>
      </c>
      <c r="J88" s="6">
        <f t="shared" si="16"/>
        <v>-0.66434953087535487</v>
      </c>
      <c r="K88" s="6">
        <f t="shared" si="13"/>
        <v>5.0460457610180367E-3</v>
      </c>
      <c r="L88" s="6">
        <f t="shared" si="17"/>
        <v>4.1684015517014908E-2</v>
      </c>
      <c r="M88" s="22">
        <f t="shared" si="18"/>
        <v>-3.6637969755996869E-2</v>
      </c>
      <c r="N88" s="21"/>
      <c r="O88" s="19"/>
    </row>
    <row r="89" spans="2:16" ht="15.5" hidden="1" outlineLevel="1" thickTop="1" thickBot="1" x14ac:dyDescent="0.4">
      <c r="B89" s="3" t="str">
        <f t="shared" ref="B89" si="52">B41</f>
        <v>EFECTIVO</v>
      </c>
      <c r="C89" s="3"/>
      <c r="D89" s="71">
        <f>'Último rebalanceo'!K137</f>
        <v>624.20904903774863</v>
      </c>
      <c r="E89" s="71"/>
      <c r="F89" s="5"/>
      <c r="G89" s="5"/>
      <c r="H89" s="5">
        <f>D89</f>
        <v>624.20904903774863</v>
      </c>
      <c r="I89" s="5"/>
      <c r="J89" s="6"/>
      <c r="K89" s="6">
        <f t="shared" si="13"/>
        <v>1.1484676678648113E-2</v>
      </c>
      <c r="L89" s="6">
        <f t="shared" si="17"/>
        <v>9.5143460237950821E-3</v>
      </c>
      <c r="M89" s="22">
        <f t="shared" si="18"/>
        <v>1.9703306548530305E-3</v>
      </c>
      <c r="N89" s="21"/>
      <c r="O89" s="19"/>
    </row>
    <row r="90" spans="2:16" ht="15.5" hidden="1" customHeight="1" outlineLevel="1" thickTop="1" thickBot="1" x14ac:dyDescent="0.4">
      <c r="M90" s="23"/>
      <c r="N90" s="21"/>
      <c r="O90" s="19"/>
    </row>
    <row r="91" spans="2:16" ht="15.5" hidden="1" outlineLevel="1" thickTop="1" thickBot="1" x14ac:dyDescent="0.4">
      <c r="B91" s="10" t="s">
        <v>10</v>
      </c>
      <c r="C91" s="10"/>
      <c r="D91" s="10"/>
      <c r="E91" s="10"/>
      <c r="F91" s="11"/>
      <c r="G91" s="11"/>
      <c r="H91" s="11">
        <f>SUM(H54:H89)</f>
        <v>54351.469049037754</v>
      </c>
      <c r="I91" s="110" t="s">
        <v>119</v>
      </c>
      <c r="J91" s="14">
        <f>H91/(D47+D48)-1</f>
        <v>1.1740587619615104</v>
      </c>
      <c r="K91" s="12">
        <f>SUM(K54:K89)</f>
        <v>0.99999999999999978</v>
      </c>
      <c r="L91" s="12">
        <f>SUM(L54:L89)</f>
        <v>1.0000000000000002</v>
      </c>
      <c r="M91" s="13">
        <f t="array" ref="M91">SUM(ABS(M54:M89))</f>
        <v>0.5473078954020314</v>
      </c>
      <c r="N91" s="25" t="str">
        <f>IF(M91&lt;0.1,"Excelente",IF(AND(M91&lt;=0.2,M91&gt;=0.1),"Buena",IF(AND(M91&lt;=0.35,M91&gt;0.2),"Regular","Mala")))</f>
        <v>Mala</v>
      </c>
      <c r="O91" s="19"/>
    </row>
    <row r="92" spans="2:16" ht="23.5" hidden="1" customHeight="1" outlineLevel="1" thickTop="1" thickBot="1" x14ac:dyDescent="0.4">
      <c r="I92" s="111" t="s">
        <v>118</v>
      </c>
      <c r="J92" s="14">
        <f>LN(H91/(D47+D48))</f>
        <v>0.77659581775484743</v>
      </c>
      <c r="M92" s="150" t="s">
        <v>14</v>
      </c>
      <c r="N92" s="151"/>
      <c r="O92" s="19"/>
    </row>
    <row r="93" spans="2:16" ht="15" hidden="1" outlineLevel="1" thickTop="1" x14ac:dyDescent="0.35">
      <c r="F93" s="28"/>
      <c r="H93" s="28"/>
      <c r="P93" s="9"/>
    </row>
    <row r="94" spans="2:16" collapsed="1" x14ac:dyDescent="0.35">
      <c r="P94" s="19"/>
    </row>
    <row r="95" spans="2:16" ht="17" x14ac:dyDescent="0.45">
      <c r="B95" s="149" t="s">
        <v>28</v>
      </c>
      <c r="C95" s="149"/>
      <c r="H95" s="109"/>
    </row>
    <row r="96" spans="2:16" ht="15" hidden="1" outlineLevel="1" x14ac:dyDescent="0.4">
      <c r="B96" s="148" t="s">
        <v>13</v>
      </c>
      <c r="C96" s="148"/>
      <c r="D96" s="80">
        <v>18000</v>
      </c>
      <c r="E96" s="16"/>
      <c r="G96" s="109"/>
    </row>
    <row r="97" spans="2:15" ht="15" hidden="1" outlineLevel="1" x14ac:dyDescent="0.4">
      <c r="B97" s="153" t="s">
        <v>15</v>
      </c>
      <c r="C97" s="153"/>
      <c r="D97" s="153"/>
      <c r="E97" s="153"/>
      <c r="F97" s="153"/>
      <c r="G97" s="153"/>
      <c r="H97" s="153"/>
      <c r="I97" s="153"/>
      <c r="J97" s="153"/>
      <c r="K97" s="153"/>
    </row>
    <row r="98" spans="2:15" ht="15" hidden="1" outlineLevel="1" x14ac:dyDescent="0.4">
      <c r="B98" s="26"/>
      <c r="C98" s="26"/>
      <c r="D98" s="26"/>
      <c r="E98" s="26"/>
      <c r="F98" s="26"/>
      <c r="G98" s="26"/>
      <c r="H98" s="26"/>
      <c r="I98" s="26"/>
      <c r="J98" s="26"/>
    </row>
    <row r="99" spans="2:15" ht="16.5" hidden="1" outlineLevel="1" thickBot="1" x14ac:dyDescent="0.5">
      <c r="B99" s="147" t="s">
        <v>12</v>
      </c>
      <c r="C99" s="147"/>
    </row>
    <row r="100" spans="2:15" ht="36" hidden="1" outlineLevel="1" thickTop="1" thickBot="1" x14ac:dyDescent="0.4">
      <c r="B100" s="17" t="s">
        <v>1</v>
      </c>
      <c r="C100" s="17" t="s">
        <v>2</v>
      </c>
      <c r="D100" s="17" t="s">
        <v>3</v>
      </c>
      <c r="E100" s="18" t="s">
        <v>8</v>
      </c>
      <c r="F100" s="17" t="s">
        <v>4</v>
      </c>
      <c r="G100" s="18" t="s">
        <v>16</v>
      </c>
      <c r="H100" s="17" t="s">
        <v>9</v>
      </c>
      <c r="I100" s="18" t="s">
        <v>5</v>
      </c>
      <c r="J100" s="2" t="s">
        <v>6</v>
      </c>
      <c r="K100" s="73" t="s">
        <v>27</v>
      </c>
      <c r="L100" s="21"/>
      <c r="M100" s="21"/>
      <c r="N100" s="21"/>
      <c r="O100" s="21"/>
    </row>
    <row r="101" spans="2:15" ht="15.5" hidden="1" outlineLevel="1" thickTop="1" thickBot="1" x14ac:dyDescent="0.4">
      <c r="B101" s="3" t="str">
        <f>B6</f>
        <v>GAPB</v>
      </c>
      <c r="C101" s="3" t="str">
        <f>C6</f>
        <v>Grupo Aeroportuario del Pacifico, S.A.B. de C.V.</v>
      </c>
      <c r="D101" s="3">
        <f t="array" ref="D101">IF(SUMPRODUCT(ROUND($K$6:$K$40*$D$96/$E$101:$E$135,0),$E$101:$E$135)&gt;$D$96,ROUND($D$96*($D$96/SUMPRODUCT(ROUND($K$6:$K$40*$D$96/$E$101:$E$135,0),$E$101:$E$135))*K6/E101,0),ROUND($D$96*K6/E101,0))</f>
        <v>1</v>
      </c>
      <c r="E101" s="79">
        <f>G6</f>
        <v>438.21</v>
      </c>
      <c r="F101" s="5">
        <f t="shared" ref="F101:F135" si="53">D101*E101</f>
        <v>438.21</v>
      </c>
      <c r="G101" s="5">
        <f>G6</f>
        <v>438.21</v>
      </c>
      <c r="H101" s="5">
        <f t="shared" ref="H101:H135" si="54">D101*G101</f>
        <v>438.21</v>
      </c>
      <c r="I101" s="6">
        <f>H101/$H$138</f>
        <v>2.4344999999999999E-2</v>
      </c>
      <c r="J101" s="6">
        <f>K6</f>
        <v>2.913851524966676E-2</v>
      </c>
      <c r="K101" s="22">
        <f>I101-J101</f>
        <v>-4.7935152496667612E-3</v>
      </c>
      <c r="L101" s="21"/>
      <c r="M101" s="21"/>
      <c r="N101" s="21"/>
      <c r="O101" s="21"/>
    </row>
    <row r="102" spans="2:15" ht="15.5" hidden="1" outlineLevel="1" thickTop="1" thickBot="1" x14ac:dyDescent="0.4">
      <c r="B102" s="3" t="str">
        <f t="shared" ref="B102:C102" si="55">B7</f>
        <v>SIGMAFA</v>
      </c>
      <c r="C102" s="3" t="str">
        <f t="shared" si="55"/>
        <v>Sigma Foods SAB de CV</v>
      </c>
      <c r="D102" s="3">
        <f t="array" ref="D102">IF(SUMPRODUCT(ROUND($K$6:$K$40*$D$96/$E$101:$E$135,0),$E$101:$E$135)&gt;$D$96,ROUND($D$96*($D$96/SUMPRODUCT(ROUND($K$6:$K$40*$D$96/$E$101:$E$135,0),$E$101:$E$135))*K7/E102,0),ROUND($D$96*K7/E102,0))</f>
        <v>23</v>
      </c>
      <c r="E102" s="79">
        <f t="shared" ref="E102:E135" si="56">G7</f>
        <v>16.55</v>
      </c>
      <c r="F102" s="5">
        <f t="shared" si="53"/>
        <v>380.65000000000003</v>
      </c>
      <c r="G102" s="5">
        <f t="shared" ref="G102:G135" si="57">G7</f>
        <v>16.55</v>
      </c>
      <c r="H102" s="5">
        <f t="shared" si="54"/>
        <v>380.65000000000003</v>
      </c>
      <c r="I102" s="6">
        <f t="shared" ref="I102:I135" si="58">H102/$H$138</f>
        <v>2.1147222222222224E-2</v>
      </c>
      <c r="J102" s="6">
        <f t="shared" ref="J102:J136" si="59">K7</f>
        <v>2.1642822098641528E-2</v>
      </c>
      <c r="K102" s="22">
        <f t="shared" ref="K102:K136" si="60">I102-J102</f>
        <v>-4.9559987641930453E-4</v>
      </c>
      <c r="L102" s="21"/>
      <c r="M102" s="21"/>
      <c r="N102" s="21"/>
      <c r="O102" s="21"/>
    </row>
    <row r="103" spans="2:15" ht="15.5" hidden="1" outlineLevel="1" thickTop="1" thickBot="1" x14ac:dyDescent="0.4">
      <c r="B103" s="3" t="str">
        <f t="shared" ref="B103:C103" si="61">B8</f>
        <v>WALMEX</v>
      </c>
      <c r="C103" s="3" t="str">
        <f t="shared" si="61"/>
        <v>Walmart de Mexico SAB de CV</v>
      </c>
      <c r="D103" s="3">
        <f t="array" ref="D103">IF(SUMPRODUCT(ROUND($K$6:$K$40*$D$96/$E$101:$E$135,0),$E$101:$E$135)&gt;$D$96,ROUND($D$96*($D$96/SUMPRODUCT(ROUND($K$6:$K$40*$D$96/$E$101:$E$135,0),$E$101:$E$135))*K8/E103,0),ROUND($D$96*K8/E103,0))</f>
        <v>6</v>
      </c>
      <c r="E103" s="79">
        <f t="shared" si="56"/>
        <v>55.07</v>
      </c>
      <c r="F103" s="5">
        <f t="shared" si="53"/>
        <v>330.42</v>
      </c>
      <c r="G103" s="5">
        <f t="shared" si="57"/>
        <v>55.07</v>
      </c>
      <c r="H103" s="5">
        <f t="shared" si="54"/>
        <v>330.42</v>
      </c>
      <c r="I103" s="6">
        <f t="shared" si="58"/>
        <v>1.8356666666666667E-2</v>
      </c>
      <c r="J103" s="6">
        <f t="shared" si="59"/>
        <v>1.9529851408218571E-2</v>
      </c>
      <c r="K103" s="22">
        <f t="shared" si="60"/>
        <v>-1.1731847415519039E-3</v>
      </c>
      <c r="L103" s="21"/>
      <c r="M103" s="21"/>
      <c r="N103" s="21"/>
      <c r="O103" s="21"/>
    </row>
    <row r="104" spans="2:15" ht="15.5" hidden="1" outlineLevel="1" thickTop="1" thickBot="1" x14ac:dyDescent="0.4">
      <c r="B104" s="3" t="str">
        <f t="shared" ref="B104:C104" si="62">B9</f>
        <v>ORBIA</v>
      </c>
      <c r="C104" s="3" t="str">
        <f t="shared" si="62"/>
        <v>ORBIA ADVANCE CORPORATION SAB de CV</v>
      </c>
      <c r="D104" s="3">
        <f t="array" ref="D104">IF(SUMPRODUCT(ROUND($K$6:$K$40*$D$96/$E$101:$E$135,0),$E$101:$E$135)&gt;$D$96,ROUND($D$96*($D$96/SUMPRODUCT(ROUND($K$6:$K$40*$D$96/$E$101:$E$135,0),$E$101:$E$135))*K9/E104,0),ROUND($D$96*K9/E104,0))</f>
        <v>30</v>
      </c>
      <c r="E104" s="79">
        <f t="shared" si="56"/>
        <v>20.91</v>
      </c>
      <c r="F104" s="5">
        <f t="shared" si="53"/>
        <v>627.29999999999995</v>
      </c>
      <c r="G104" s="5">
        <f t="shared" si="57"/>
        <v>20.91</v>
      </c>
      <c r="H104" s="5">
        <f t="shared" si="54"/>
        <v>627.29999999999995</v>
      </c>
      <c r="I104" s="6">
        <f t="shared" si="58"/>
        <v>3.4849999999999999E-2</v>
      </c>
      <c r="J104" s="6">
        <f t="shared" si="59"/>
        <v>3.4759952640887479E-2</v>
      </c>
      <c r="K104" s="22">
        <f t="shared" si="60"/>
        <v>9.004735911252032E-5</v>
      </c>
      <c r="L104" s="21"/>
      <c r="M104" s="21"/>
      <c r="N104" s="21"/>
      <c r="O104" s="21"/>
    </row>
    <row r="105" spans="2:15" ht="15.5" hidden="1" outlineLevel="1" thickTop="1" thickBot="1" x14ac:dyDescent="0.4">
      <c r="B105" s="3" t="str">
        <f t="shared" ref="B105:C105" si="63">B10</f>
        <v>OMAB</v>
      </c>
      <c r="C105" s="3" t="str">
        <f t="shared" si="63"/>
        <v>Grupo Aeroportuario del Centro Norte, S.A.B. de C.V.</v>
      </c>
      <c r="D105" s="3">
        <f t="array" ref="D105">IF(SUMPRODUCT(ROUND($K$6:$K$40*$D$96/$E$101:$E$135,0),$E$101:$E$135)&gt;$D$96,ROUND($D$96*($D$96/SUMPRODUCT(ROUND($K$6:$K$40*$D$96/$E$101:$E$135,0),$E$101:$E$135))*K10/E105,0),ROUND($D$96*K10/E105,0))</f>
        <v>3</v>
      </c>
      <c r="E105" s="79">
        <f t="shared" si="56"/>
        <v>231.83</v>
      </c>
      <c r="F105" s="5">
        <f t="shared" si="53"/>
        <v>695.49</v>
      </c>
      <c r="G105" s="5">
        <f t="shared" si="57"/>
        <v>231.83</v>
      </c>
      <c r="H105" s="5">
        <f t="shared" si="54"/>
        <v>695.49</v>
      </c>
      <c r="I105" s="6">
        <f t="shared" si="58"/>
        <v>3.8638333333333337E-2</v>
      </c>
      <c r="J105" s="6">
        <f t="shared" si="59"/>
        <v>4.1107730633442086E-2</v>
      </c>
      <c r="K105" s="22">
        <f t="shared" si="60"/>
        <v>-2.4693973001087485E-3</v>
      </c>
      <c r="L105" s="21"/>
      <c r="M105" s="21"/>
      <c r="N105" s="21"/>
      <c r="O105" s="21"/>
    </row>
    <row r="106" spans="2:15" ht="15.5" hidden="1" outlineLevel="1" thickTop="1" thickBot="1" x14ac:dyDescent="0.4">
      <c r="B106" s="3" t="str">
        <f t="shared" ref="B106:C106" si="64">B11</f>
        <v>TLEVISACPO</v>
      </c>
      <c r="C106" s="3" t="str">
        <f t="shared" si="64"/>
        <v>Grupo Televisa SAB CPO</v>
      </c>
      <c r="D106" s="3">
        <f t="array" ref="D106">IF(SUMPRODUCT(ROUND($K$6:$K$40*$D$96/$E$101:$E$135,0),$E$101:$E$135)&gt;$D$96,ROUND($D$96*($D$96/SUMPRODUCT(ROUND($K$6:$K$40*$D$96/$E$101:$E$135,0),$E$101:$E$135))*K11/E106,0),ROUND($D$96*K11/E106,0))</f>
        <v>42</v>
      </c>
      <c r="E106" s="79">
        <f t="shared" si="56"/>
        <v>9.9600000000000009</v>
      </c>
      <c r="F106" s="5">
        <f t="shared" si="53"/>
        <v>418.32000000000005</v>
      </c>
      <c r="G106" s="5">
        <f t="shared" si="57"/>
        <v>9.9600000000000009</v>
      </c>
      <c r="H106" s="5">
        <f t="shared" si="54"/>
        <v>418.32000000000005</v>
      </c>
      <c r="I106" s="6">
        <f t="shared" si="58"/>
        <v>2.3240000000000004E-2</v>
      </c>
      <c r="J106" s="6">
        <f t="shared" si="59"/>
        <v>2.3179951201555957E-2</v>
      </c>
      <c r="K106" s="22">
        <f t="shared" si="60"/>
        <v>6.0048798444047036E-5</v>
      </c>
      <c r="L106" s="21"/>
      <c r="M106" s="21"/>
      <c r="N106" s="21"/>
      <c r="O106" s="21"/>
    </row>
    <row r="107" spans="2:15" ht="15.5" hidden="1" outlineLevel="1" thickTop="1" thickBot="1" x14ac:dyDescent="0.4">
      <c r="B107" s="3" t="str">
        <f t="shared" ref="B107:C107" si="65">B12</f>
        <v>CEMEXCPO</v>
      </c>
      <c r="C107" s="3" t="str">
        <f t="shared" si="65"/>
        <v>Cemex SA CPO</v>
      </c>
      <c r="D107" s="3">
        <f t="array" ref="D107">IF(SUMPRODUCT(ROUND($K$6:$K$40*$D$96/$E$101:$E$135,0),$E$101:$E$135)&gt;$D$96,ROUND($D$96*($D$96/SUMPRODUCT(ROUND($K$6:$K$40*$D$96/$E$101:$E$135,0),$E$101:$E$135))*K12/E107,0),ROUND($D$96*K12/E107,0))</f>
        <v>29</v>
      </c>
      <c r="E107" s="79">
        <f t="shared" si="56"/>
        <v>21.45</v>
      </c>
      <c r="F107" s="5">
        <f t="shared" si="53"/>
        <v>622.04999999999995</v>
      </c>
      <c r="G107" s="5">
        <f t="shared" si="57"/>
        <v>21.45</v>
      </c>
      <c r="H107" s="5">
        <f t="shared" si="54"/>
        <v>622.04999999999995</v>
      </c>
      <c r="I107" s="6">
        <f t="shared" si="58"/>
        <v>3.455833333333333E-2</v>
      </c>
      <c r="J107" s="6">
        <f t="shared" si="59"/>
        <v>3.4706757113173059E-2</v>
      </c>
      <c r="K107" s="22">
        <f t="shared" si="60"/>
        <v>-1.4842377983972921E-4</v>
      </c>
      <c r="L107" s="21"/>
      <c r="M107" s="21"/>
      <c r="N107" s="21"/>
      <c r="O107" s="21"/>
    </row>
    <row r="108" spans="2:15" ht="15.5" hidden="1" outlineLevel="1" thickTop="1" thickBot="1" x14ac:dyDescent="0.4">
      <c r="B108" s="3" t="str">
        <f t="shared" ref="B108:C108" si="66">B13</f>
        <v>PINFRA</v>
      </c>
      <c r="C108" s="3" t="str">
        <f t="shared" si="66"/>
        <v>Promotora y Operadora de Infraestructura SAB de CV</v>
      </c>
      <c r="D108" s="3">
        <f t="array" ref="D108">IF(SUMPRODUCT(ROUND($K$6:$K$40*$D$96/$E$101:$E$135,0),$E$101:$E$135)&gt;$D$96,ROUND($D$96*($D$96/SUMPRODUCT(ROUND($K$6:$K$40*$D$96/$E$101:$E$135,0),$E$101:$E$135))*K13/E108,0),ROUND($D$96*K13/E108,0))</f>
        <v>2</v>
      </c>
      <c r="E108" s="79">
        <f t="shared" si="56"/>
        <v>276.60000000000002</v>
      </c>
      <c r="F108" s="5">
        <f t="shared" si="53"/>
        <v>553.20000000000005</v>
      </c>
      <c r="G108" s="5">
        <f t="shared" si="57"/>
        <v>276.60000000000002</v>
      </c>
      <c r="H108" s="5">
        <f t="shared" si="54"/>
        <v>553.20000000000005</v>
      </c>
      <c r="I108" s="6">
        <f t="shared" si="58"/>
        <v>3.0733333333333335E-2</v>
      </c>
      <c r="J108" s="6">
        <f t="shared" si="59"/>
        <v>3.0653922845431135E-2</v>
      </c>
      <c r="K108" s="22">
        <f t="shared" si="60"/>
        <v>7.9410487902199789E-5</v>
      </c>
      <c r="L108" s="21"/>
      <c r="M108" s="21"/>
      <c r="N108" s="21"/>
      <c r="O108" s="21"/>
    </row>
    <row r="109" spans="2:15" ht="15.5" hidden="1" outlineLevel="1" thickTop="1" thickBot="1" x14ac:dyDescent="0.4">
      <c r="B109" s="3" t="str">
        <f t="shared" ref="B109:C109" si="67">B14</f>
        <v>GMEXICOB</v>
      </c>
      <c r="C109" s="3" t="str">
        <f t="shared" si="67"/>
        <v>Grupo Mexico SAB de CV B</v>
      </c>
      <c r="D109" s="3">
        <f t="array" ref="D109">IF(SUMPRODUCT(ROUND($K$6:$K$40*$D$96/$E$101:$E$135,0),$E$101:$E$135)&gt;$D$96,ROUND($D$96*($D$96/SUMPRODUCT(ROUND($K$6:$K$40*$D$96/$E$101:$E$135,0),$E$101:$E$135))*K14/E109,0),ROUND($D$96*K14/E109,0))</f>
        <v>5</v>
      </c>
      <c r="E109" s="79">
        <f t="shared" si="56"/>
        <v>191.2</v>
      </c>
      <c r="F109" s="5">
        <f t="shared" si="53"/>
        <v>956</v>
      </c>
      <c r="G109" s="5">
        <f t="shared" si="57"/>
        <v>191.2</v>
      </c>
      <c r="H109" s="5">
        <f t="shared" si="54"/>
        <v>956</v>
      </c>
      <c r="I109" s="6">
        <f t="shared" si="58"/>
        <v>5.3111111111111109E-2</v>
      </c>
      <c r="J109" s="6">
        <f t="shared" si="59"/>
        <v>5.0854924494979886E-2</v>
      </c>
      <c r="K109" s="22">
        <f t="shared" si="60"/>
        <v>2.2561866161312227E-3</v>
      </c>
      <c r="L109" s="21"/>
      <c r="M109" s="21"/>
      <c r="N109" s="21"/>
      <c r="O109" s="21"/>
    </row>
    <row r="110" spans="2:15" ht="15.5" hidden="1" outlineLevel="1" thickTop="1" thickBot="1" x14ac:dyDescent="0.4">
      <c r="B110" s="3" t="str">
        <f t="shared" ref="B110:C110" si="68">B15</f>
        <v>AC</v>
      </c>
      <c r="C110" s="3" t="str">
        <f t="shared" si="68"/>
        <v>Arca Continental, SAB de CV</v>
      </c>
      <c r="D110" s="3">
        <f t="array" ref="D110">IF(SUMPRODUCT(ROUND($K$6:$K$40*$D$96/$E$101:$E$135,0),$E$101:$E$135)&gt;$D$96,ROUND($D$96*($D$96/SUMPRODUCT(ROUND($K$6:$K$40*$D$96/$E$101:$E$135,0),$E$101:$E$135))*K15/E110,0),ROUND($D$96*K15/E110,0))</f>
        <v>2</v>
      </c>
      <c r="E110" s="79">
        <f t="shared" si="56"/>
        <v>209.87</v>
      </c>
      <c r="F110" s="5">
        <f t="shared" si="53"/>
        <v>419.74</v>
      </c>
      <c r="G110" s="5">
        <f t="shared" si="57"/>
        <v>209.87</v>
      </c>
      <c r="H110" s="5">
        <f t="shared" si="54"/>
        <v>419.74</v>
      </c>
      <c r="I110" s="6">
        <f t="shared" si="58"/>
        <v>2.3318888888888889E-2</v>
      </c>
      <c r="J110" s="6">
        <f t="shared" si="59"/>
        <v>2.3258636252966855E-2</v>
      </c>
      <c r="K110" s="22">
        <f t="shared" si="60"/>
        <v>6.0252635922034004E-5</v>
      </c>
      <c r="L110" s="21"/>
      <c r="M110" s="21"/>
      <c r="N110" s="21"/>
      <c r="O110" s="21"/>
    </row>
    <row r="111" spans="2:15" ht="15.5" hidden="1" outlineLevel="1" thickTop="1" thickBot="1" x14ac:dyDescent="0.4">
      <c r="B111" s="3" t="str">
        <f t="shared" ref="B111:C111" si="69">B16</f>
        <v>FEMSAUBD</v>
      </c>
      <c r="C111" s="3" t="str">
        <f t="shared" si="69"/>
        <v>Fomento Economico Mexicano S.A.B. de C.V.</v>
      </c>
      <c r="D111" s="3">
        <f t="array" ref="D111">IF(SUMPRODUCT(ROUND($K$6:$K$40*$D$96/$E$101:$E$135,0),$E$101:$E$135)&gt;$D$96,ROUND($D$96*($D$96/SUMPRODUCT(ROUND($K$6:$K$40*$D$96/$E$101:$E$135,0),$E$101:$E$135))*K16/E111,0),ROUND($D$96*K16/E111,0))</f>
        <v>2</v>
      </c>
      <c r="E111" s="79">
        <f t="shared" si="56"/>
        <v>206.45</v>
      </c>
      <c r="F111" s="5">
        <f t="shared" si="53"/>
        <v>412.9</v>
      </c>
      <c r="G111" s="5">
        <f t="shared" si="57"/>
        <v>206.45</v>
      </c>
      <c r="H111" s="5">
        <f t="shared" si="54"/>
        <v>412.9</v>
      </c>
      <c r="I111" s="6">
        <f t="shared" si="58"/>
        <v>2.2938888888888887E-2</v>
      </c>
      <c r="J111" s="6">
        <f t="shared" si="59"/>
        <v>1.8303694494401324E-2</v>
      </c>
      <c r="K111" s="22">
        <f t="shared" si="60"/>
        <v>4.6351943944875629E-3</v>
      </c>
      <c r="L111" s="21"/>
      <c r="M111" s="21"/>
      <c r="N111" s="21"/>
      <c r="O111" s="21"/>
    </row>
    <row r="112" spans="2:15" ht="15.5" hidden="1" outlineLevel="1" thickTop="1" thickBot="1" x14ac:dyDescent="0.4">
      <c r="B112" s="3" t="str">
        <f t="shared" ref="B112:C112" si="70">B17</f>
        <v>AMXB</v>
      </c>
      <c r="C112" s="3" t="str">
        <f t="shared" si="70"/>
        <v>America Movil SAB de CV B</v>
      </c>
      <c r="D112" s="3">
        <f t="array" ref="D112">IF(SUMPRODUCT(ROUND($K$6:$K$40*$D$96/$E$101:$E$135,0),$E$101:$E$135)&gt;$D$96,ROUND($D$96*($D$96/SUMPRODUCT(ROUND($K$6:$K$40*$D$96/$E$101:$E$135,0),$E$101:$E$135))*K17/E112,0),ROUND($D$96*K17/E112,0))</f>
        <v>21</v>
      </c>
      <c r="E112" s="79">
        <f t="shared" si="56"/>
        <v>23.21</v>
      </c>
      <c r="F112" s="5">
        <f t="shared" si="53"/>
        <v>487.41</v>
      </c>
      <c r="G112" s="5">
        <f t="shared" si="57"/>
        <v>23.21</v>
      </c>
      <c r="H112" s="5">
        <f t="shared" si="54"/>
        <v>487.41</v>
      </c>
      <c r="I112" s="6">
        <f t="shared" si="58"/>
        <v>2.7078333333333336E-2</v>
      </c>
      <c r="J112" s="6">
        <f t="shared" si="59"/>
        <v>2.7265589378055101E-2</v>
      </c>
      <c r="K112" s="22">
        <f t="shared" si="60"/>
        <v>-1.8725604472176471E-4</v>
      </c>
      <c r="L112" s="21"/>
      <c r="M112" s="21"/>
      <c r="N112" s="21"/>
      <c r="O112" s="21"/>
    </row>
    <row r="113" spans="2:15" ht="15.5" hidden="1" outlineLevel="1" thickTop="1" thickBot="1" x14ac:dyDescent="0.4">
      <c r="B113" s="3" t="str">
        <f t="shared" ref="B113:C113" si="71">B18</f>
        <v>KOFUBL</v>
      </c>
      <c r="C113" s="3" t="str">
        <f t="shared" si="71"/>
        <v>Coca-Cola Femsa SAB de CV UBL</v>
      </c>
      <c r="D113" s="3">
        <f t="array" ref="D113">IF(SUMPRODUCT(ROUND($K$6:$K$40*$D$96/$E$101:$E$135,0),$E$101:$E$135)&gt;$D$96,ROUND($D$96*($D$96/SUMPRODUCT(ROUND($K$6:$K$40*$D$96/$E$101:$E$135,0),$E$101:$E$135))*K18/E113,0),ROUND($D$96*K18/E113,0))</f>
        <v>2</v>
      </c>
      <c r="E113" s="79">
        <f t="shared" si="56"/>
        <v>176.96</v>
      </c>
      <c r="F113" s="5">
        <f t="shared" si="53"/>
        <v>353.92</v>
      </c>
      <c r="G113" s="5">
        <f t="shared" si="57"/>
        <v>176.96</v>
      </c>
      <c r="H113" s="5">
        <f t="shared" si="54"/>
        <v>353.92</v>
      </c>
      <c r="I113" s="6">
        <f t="shared" si="58"/>
        <v>1.9662222222222223E-2</v>
      </c>
      <c r="J113" s="6">
        <f t="shared" si="59"/>
        <v>1.9611417884047341E-2</v>
      </c>
      <c r="K113" s="22">
        <f t="shared" si="60"/>
        <v>5.0804338174881974E-5</v>
      </c>
      <c r="L113" s="21"/>
      <c r="M113" s="21"/>
      <c r="N113" s="21"/>
      <c r="O113" s="21"/>
    </row>
    <row r="114" spans="2:15" ht="15.5" hidden="1" outlineLevel="1" thickTop="1" thickBot="1" x14ac:dyDescent="0.4">
      <c r="B114" s="3" t="str">
        <f t="shared" ref="B114:C114" si="72">B19</f>
        <v>ALSEA</v>
      </c>
      <c r="C114" s="3" t="str">
        <f t="shared" si="72"/>
        <v>Alsea SA</v>
      </c>
      <c r="D114" s="3">
        <f t="array" ref="D114">IF(SUMPRODUCT(ROUND($K$6:$K$40*$D$96/$E$101:$E$135,0),$E$101:$E$135)&gt;$D$96,ROUND($D$96*($D$96/SUMPRODUCT(ROUND($K$6:$K$40*$D$96/$E$101:$E$135,0),$E$101:$E$135))*K19/E114,0),ROUND($D$96*K19/E114,0))</f>
        <v>8</v>
      </c>
      <c r="E114" s="79">
        <f t="shared" si="56"/>
        <v>51.42</v>
      </c>
      <c r="F114" s="5">
        <f t="shared" si="53"/>
        <v>411.36</v>
      </c>
      <c r="G114" s="5">
        <f t="shared" si="57"/>
        <v>51.42</v>
      </c>
      <c r="H114" s="5">
        <f t="shared" si="54"/>
        <v>411.36</v>
      </c>
      <c r="I114" s="6">
        <f t="shared" si="58"/>
        <v>2.2853333333333333E-2</v>
      </c>
      <c r="J114" s="6">
        <f t="shared" si="59"/>
        <v>2.2794283625626452E-2</v>
      </c>
      <c r="K114" s="22">
        <f t="shared" si="60"/>
        <v>5.9049707706881199E-5</v>
      </c>
      <c r="L114" s="21"/>
      <c r="M114" s="21"/>
      <c r="N114" s="21"/>
      <c r="O114" s="21"/>
    </row>
    <row r="115" spans="2:15" ht="15.5" hidden="1" outlineLevel="1" thickTop="1" thickBot="1" x14ac:dyDescent="0.4">
      <c r="B115" s="3" t="str">
        <f t="shared" ref="B115:C115" si="73">B20</f>
        <v>GRUMAB</v>
      </c>
      <c r="C115" s="3" t="str">
        <f t="shared" si="73"/>
        <v>Gruma SAB B</v>
      </c>
      <c r="D115" s="3">
        <f t="array" ref="D115">IF(SUMPRODUCT(ROUND($K$6:$K$40*$D$96/$E$101:$E$135,0),$E$101:$E$135)&gt;$D$96,ROUND($D$96*($D$96/SUMPRODUCT(ROUND($K$6:$K$40*$D$96/$E$101:$E$135,0),$E$101:$E$135))*K20/E115,0),ROUND($D$96*K20/E115,0))</f>
        <v>1</v>
      </c>
      <c r="E115" s="79">
        <f t="shared" si="56"/>
        <v>303.16000000000003</v>
      </c>
      <c r="F115" s="5">
        <f t="shared" si="53"/>
        <v>303.16000000000003</v>
      </c>
      <c r="G115" s="5">
        <f t="shared" si="57"/>
        <v>303.16000000000003</v>
      </c>
      <c r="H115" s="5">
        <f t="shared" si="54"/>
        <v>303.16000000000003</v>
      </c>
      <c r="I115" s="6">
        <f t="shared" si="58"/>
        <v>1.6842222222222224E-2</v>
      </c>
      <c r="J115" s="6">
        <f t="shared" si="59"/>
        <v>2.0158445227377232E-2</v>
      </c>
      <c r="K115" s="22">
        <f t="shared" si="60"/>
        <v>-3.3162230051550085E-3</v>
      </c>
      <c r="L115" s="21"/>
      <c r="M115" s="21"/>
      <c r="N115" s="21"/>
      <c r="O115" s="21"/>
    </row>
    <row r="116" spans="2:15" ht="15.5" hidden="1" outlineLevel="1" thickTop="1" thickBot="1" x14ac:dyDescent="0.4">
      <c r="B116" s="3" t="str">
        <f t="shared" ref="B116:C116" si="74">B21</f>
        <v>ASURB</v>
      </c>
      <c r="C116" s="3" t="str">
        <f t="shared" si="74"/>
        <v>Grupo Aeroportuario del Sureste SAB de CV B</v>
      </c>
      <c r="D116" s="3">
        <f t="array" ref="D116">IF(SUMPRODUCT(ROUND($K$6:$K$40*$D$96/$E$101:$E$135,0),$E$101:$E$135)&gt;$D$96,ROUND($D$96*($D$96/SUMPRODUCT(ROUND($K$6:$K$40*$D$96/$E$101:$E$135,0),$E$101:$E$135))*K21/E116,0),ROUND($D$96*K21/E116,0))</f>
        <v>1</v>
      </c>
      <c r="E116" s="79">
        <f t="shared" si="56"/>
        <v>532.34</v>
      </c>
      <c r="F116" s="5">
        <f t="shared" si="53"/>
        <v>532.34</v>
      </c>
      <c r="G116" s="5">
        <f t="shared" si="57"/>
        <v>532.34</v>
      </c>
      <c r="H116" s="5">
        <f t="shared" si="54"/>
        <v>532.34</v>
      </c>
      <c r="I116" s="6">
        <f t="shared" si="58"/>
        <v>2.9574444444444445E-2</v>
      </c>
      <c r="J116" s="6">
        <f t="shared" si="59"/>
        <v>2.3598422686242678E-2</v>
      </c>
      <c r="K116" s="22">
        <f t="shared" si="60"/>
        <v>5.9760217582017668E-3</v>
      </c>
      <c r="L116" s="21"/>
      <c r="M116" s="21"/>
      <c r="N116" s="21"/>
      <c r="O116" s="21"/>
    </row>
    <row r="117" spans="2:15" ht="15.5" hidden="1" outlineLevel="1" thickTop="1" thickBot="1" x14ac:dyDescent="0.4">
      <c r="B117" s="3" t="str">
        <f t="shared" ref="B117:C117" si="75">B22</f>
        <v>BIMBOA</v>
      </c>
      <c r="C117" s="3" t="str">
        <f t="shared" si="75"/>
        <v>Grupo Bimbo S.A.B.</v>
      </c>
      <c r="D117" s="3">
        <f t="array" ref="D117">IF(SUMPRODUCT(ROUND($K$6:$K$40*$D$96/$E$101:$E$135,0),$E$101:$E$135)&gt;$D$96,ROUND($D$96*($D$96/SUMPRODUCT(ROUND($K$6:$K$40*$D$96/$E$101:$E$135,0),$E$101:$E$135))*K22/E117,0),ROUND($D$96*K22/E117,0))</f>
        <v>9</v>
      </c>
      <c r="E117" s="79">
        <f t="shared" si="56"/>
        <v>59.48</v>
      </c>
      <c r="F117" s="5">
        <f t="shared" si="53"/>
        <v>535.31999999999994</v>
      </c>
      <c r="G117" s="5">
        <f t="shared" si="57"/>
        <v>59.48</v>
      </c>
      <c r="H117" s="5">
        <f t="shared" si="54"/>
        <v>535.31999999999994</v>
      </c>
      <c r="I117" s="6">
        <f t="shared" si="58"/>
        <v>2.9739999999999996E-2</v>
      </c>
      <c r="J117" s="6">
        <f t="shared" si="59"/>
        <v>3.032233738934462E-2</v>
      </c>
      <c r="K117" s="22">
        <f t="shared" si="60"/>
        <v>-5.8233738934462473E-4</v>
      </c>
      <c r="L117" s="21"/>
      <c r="M117" s="21"/>
      <c r="N117" s="21"/>
      <c r="O117" s="21"/>
    </row>
    <row r="118" spans="2:15" ht="15.5" hidden="1" outlineLevel="1" thickTop="1" thickBot="1" x14ac:dyDescent="0.4">
      <c r="B118" s="3" t="str">
        <f t="shared" ref="B118:C118" si="76">B23</f>
        <v>PE&amp;OLES</v>
      </c>
      <c r="C118" s="3" t="str">
        <f t="shared" si="76"/>
        <v>Industrias Penoles</v>
      </c>
      <c r="D118" s="3">
        <f t="array" ref="D118">IF(SUMPRODUCT(ROUND($K$6:$K$40*$D$96/$E$101:$E$135,0),$E$101:$E$135)&gt;$D$96,ROUND($D$96*($D$96/SUMPRODUCT(ROUND($K$6:$K$40*$D$96/$E$101:$E$135,0),$E$101:$E$135))*K23/E118,0),ROUND($D$96*K23/E118,0))</f>
        <v>1</v>
      </c>
      <c r="E118" s="79">
        <f t="shared" si="56"/>
        <v>880.7</v>
      </c>
      <c r="F118" s="5">
        <f t="shared" si="53"/>
        <v>880.7</v>
      </c>
      <c r="G118" s="5">
        <f t="shared" si="57"/>
        <v>880.7</v>
      </c>
      <c r="H118" s="5">
        <f t="shared" si="54"/>
        <v>880.7</v>
      </c>
      <c r="I118" s="6">
        <f t="shared" si="58"/>
        <v>4.8927777777777778E-2</v>
      </c>
      <c r="J118" s="6">
        <f t="shared" si="59"/>
        <v>3.9041084381737097E-2</v>
      </c>
      <c r="K118" s="22">
        <f t="shared" si="60"/>
        <v>9.8866933960406814E-3</v>
      </c>
      <c r="L118" s="21"/>
      <c r="M118" s="21"/>
      <c r="N118" s="21"/>
      <c r="O118" s="21"/>
    </row>
    <row r="119" spans="2:15" ht="15.5" hidden="1" outlineLevel="1" thickTop="1" thickBot="1" x14ac:dyDescent="0.4">
      <c r="B119" s="3" t="str">
        <f t="shared" ref="B119:C119" si="77">B24</f>
        <v>BBAJIOO</v>
      </c>
      <c r="C119" s="3" t="str">
        <f t="shared" si="77"/>
        <v>Banco del Bajio, S.A.</v>
      </c>
      <c r="D119" s="3">
        <f t="array" ref="D119">IF(SUMPRODUCT(ROUND($K$6:$K$40*$D$96/$E$101:$E$135,0),$E$101:$E$135)&gt;$D$96,ROUND($D$96*($D$96/SUMPRODUCT(ROUND($K$6:$K$40*$D$96/$E$101:$E$135,0),$E$101:$E$135))*K24/E119,0),ROUND($D$96*K24/E119,0))</f>
        <v>10</v>
      </c>
      <c r="E119" s="79">
        <f t="shared" si="56"/>
        <v>54.68</v>
      </c>
      <c r="F119" s="5">
        <f t="shared" si="53"/>
        <v>546.79999999999995</v>
      </c>
      <c r="G119" s="5">
        <f t="shared" si="57"/>
        <v>54.68</v>
      </c>
      <c r="H119" s="5">
        <f t="shared" si="54"/>
        <v>546.79999999999995</v>
      </c>
      <c r="I119" s="6">
        <f t="shared" si="58"/>
        <v>3.0377777777777774E-2</v>
      </c>
      <c r="J119" s="6">
        <f t="shared" si="59"/>
        <v>3.1511257433761777E-2</v>
      </c>
      <c r="K119" s="22">
        <f t="shared" si="60"/>
        <v>-1.133479655984003E-3</v>
      </c>
      <c r="L119" s="21"/>
      <c r="M119" s="21"/>
      <c r="N119" s="21"/>
      <c r="O119" s="21"/>
    </row>
    <row r="120" spans="2:15" ht="15.5" hidden="1" outlineLevel="1" thickTop="1" thickBot="1" x14ac:dyDescent="0.4">
      <c r="B120" s="3" t="str">
        <f t="shared" ref="B120:C120" si="78">B25</f>
        <v>BOLSAA</v>
      </c>
      <c r="C120" s="3" t="str">
        <f t="shared" si="78"/>
        <v>Bolsa Mexicana de Valores SA de CV</v>
      </c>
      <c r="D120" s="3">
        <f t="array" ref="D120">IF(SUMPRODUCT(ROUND($K$6:$K$40*$D$96/$E$101:$E$135,0),$E$101:$E$135)&gt;$D$96,ROUND($D$96*($D$96/SUMPRODUCT(ROUND($K$6:$K$40*$D$96/$E$101:$E$135,0),$E$101:$E$135))*K25/E120,0),ROUND($D$96*K25/E120,0))</f>
        <v>12</v>
      </c>
      <c r="E120" s="79">
        <f t="shared" si="56"/>
        <v>39.35</v>
      </c>
      <c r="F120" s="5">
        <f t="shared" si="53"/>
        <v>472.20000000000005</v>
      </c>
      <c r="G120" s="5">
        <f t="shared" si="57"/>
        <v>39.35</v>
      </c>
      <c r="H120" s="5">
        <f t="shared" si="54"/>
        <v>472.20000000000005</v>
      </c>
      <c r="I120" s="6">
        <f t="shared" si="58"/>
        <v>2.6233333333333334E-2</v>
      </c>
      <c r="J120" s="6">
        <f t="shared" si="59"/>
        <v>2.7037735201011697E-2</v>
      </c>
      <c r="K120" s="22">
        <f t="shared" si="60"/>
        <v>-8.0440186767836291E-4</v>
      </c>
      <c r="L120" s="21"/>
      <c r="M120" s="21"/>
      <c r="N120" s="21"/>
      <c r="O120" s="21"/>
    </row>
    <row r="121" spans="2:15" ht="15.5" hidden="1" outlineLevel="1" thickTop="1" thickBot="1" x14ac:dyDescent="0.4">
      <c r="B121" s="3" t="str">
        <f t="shared" ref="B121:C121" si="79">B26</f>
        <v>VESTA</v>
      </c>
      <c r="C121" s="3" t="str">
        <f t="shared" si="79"/>
        <v>Corporacion Inmobiliaria Vesta, S.A.B. DE C.V.</v>
      </c>
      <c r="D121" s="3">
        <f t="array" ref="D121">IF(SUMPRODUCT(ROUND($K$6:$K$40*$D$96/$E$101:$E$135,0),$E$101:$E$135)&gt;$D$96,ROUND($D$96*($D$96/SUMPRODUCT(ROUND($K$6:$K$40*$D$96/$E$101:$E$135,0),$E$101:$E$135))*K26/E121,0),ROUND($D$96*K26/E121,0))</f>
        <v>6</v>
      </c>
      <c r="E121" s="79">
        <f t="shared" si="56"/>
        <v>62.18</v>
      </c>
      <c r="F121" s="5">
        <f t="shared" si="53"/>
        <v>373.08</v>
      </c>
      <c r="G121" s="5">
        <f t="shared" si="57"/>
        <v>62.18</v>
      </c>
      <c r="H121" s="5">
        <f t="shared" si="54"/>
        <v>373.08</v>
      </c>
      <c r="I121" s="6">
        <f t="shared" si="58"/>
        <v>2.0726666666666664E-2</v>
      </c>
      <c r="J121" s="6">
        <f t="shared" si="59"/>
        <v>2.20513194218818E-2</v>
      </c>
      <c r="K121" s="22">
        <f t="shared" si="60"/>
        <v>-1.324652755215136E-3</v>
      </c>
      <c r="L121" s="21"/>
      <c r="M121" s="21"/>
      <c r="N121" s="21"/>
      <c r="O121" s="21"/>
    </row>
    <row r="122" spans="2:15" ht="15.5" hidden="1" outlineLevel="1" thickTop="1" thickBot="1" x14ac:dyDescent="0.4">
      <c r="B122" s="3" t="str">
        <f t="shared" ref="B122:C122" si="80">B27</f>
        <v>LIVEPOLC-1</v>
      </c>
      <c r="C122" s="3" t="str">
        <f t="shared" si="80"/>
        <v>El Puerto de Liverpool SAB de CV</v>
      </c>
      <c r="D122" s="3">
        <f t="array" ref="D122">IF(SUMPRODUCT(ROUND($K$6:$K$40*$D$96/$E$101:$E$135,0),$E$101:$E$135)&gt;$D$96,ROUND($D$96*($D$96/SUMPRODUCT(ROUND($K$6:$K$40*$D$96/$E$101:$E$135,0),$E$101:$E$135))*K27/E122,0),ROUND($D$96*K27/E122,0))</f>
        <v>5</v>
      </c>
      <c r="E122" s="79">
        <f t="shared" si="56"/>
        <v>103.44</v>
      </c>
      <c r="F122" s="5">
        <f t="shared" si="53"/>
        <v>517.20000000000005</v>
      </c>
      <c r="G122" s="5">
        <f t="shared" si="57"/>
        <v>103.44</v>
      </c>
      <c r="H122" s="5">
        <f t="shared" si="54"/>
        <v>517.20000000000005</v>
      </c>
      <c r="I122" s="6">
        <f t="shared" si="58"/>
        <v>2.8733333333333336E-2</v>
      </c>
      <c r="J122" s="6">
        <f t="shared" si="59"/>
        <v>2.9805454178386231E-2</v>
      </c>
      <c r="K122" s="22">
        <f t="shared" si="60"/>
        <v>-1.072120845052895E-3</v>
      </c>
      <c r="L122" s="21"/>
      <c r="M122" s="21"/>
      <c r="N122" s="21"/>
      <c r="O122" s="21"/>
    </row>
    <row r="123" spans="2:15" ht="15.5" hidden="1" outlineLevel="1" thickTop="1" thickBot="1" x14ac:dyDescent="0.4">
      <c r="B123" s="3" t="str">
        <f t="shared" ref="B123:C123" si="81">B28</f>
        <v>LABB</v>
      </c>
      <c r="C123" s="3" t="str">
        <f t="shared" si="81"/>
        <v>Genomma Lab Internacional SA de CV</v>
      </c>
      <c r="D123" s="3">
        <f t="array" ref="D123">IF(SUMPRODUCT(ROUND($K$6:$K$40*$D$96/$E$101:$E$135,0),$E$101:$E$135)&gt;$D$96,ROUND($D$96*($D$96/SUMPRODUCT(ROUND($K$6:$K$40*$D$96/$E$101:$E$135,0),$E$101:$E$135))*K28/E123,0),ROUND($D$96*K28/E123,0))</f>
        <v>38</v>
      </c>
      <c r="E123" s="79">
        <f t="shared" si="56"/>
        <v>16.48</v>
      </c>
      <c r="F123" s="5">
        <f t="shared" si="53"/>
        <v>626.24</v>
      </c>
      <c r="G123" s="5">
        <f t="shared" si="57"/>
        <v>16.48</v>
      </c>
      <c r="H123" s="5">
        <f t="shared" si="54"/>
        <v>626.24</v>
      </c>
      <c r="I123" s="6">
        <f t="shared" si="58"/>
        <v>3.4791111111111113E-2</v>
      </c>
      <c r="J123" s="6">
        <f t="shared" si="59"/>
        <v>3.5066491869341784E-2</v>
      </c>
      <c r="K123" s="22">
        <f t="shared" si="60"/>
        <v>-2.7538075823067137E-4</v>
      </c>
      <c r="L123" s="21"/>
      <c r="M123" s="21"/>
      <c r="N123" s="21"/>
      <c r="O123" s="21"/>
    </row>
    <row r="124" spans="2:15" ht="15.5" hidden="1" outlineLevel="1" thickTop="1" thickBot="1" x14ac:dyDescent="0.4">
      <c r="B124" s="3" t="str">
        <f t="shared" ref="B124:C124" si="82">B29</f>
        <v>GCARSOA1</v>
      </c>
      <c r="C124" s="3" t="str">
        <f t="shared" si="82"/>
        <v>Grupo Carso SAB de CV</v>
      </c>
      <c r="D124" s="3">
        <f t="array" ref="D124">IF(SUMPRODUCT(ROUND($K$6:$K$40*$D$96/$E$101:$E$135,0),$E$101:$E$135)&gt;$D$96,ROUND($D$96*($D$96/SUMPRODUCT(ROUND($K$6:$K$40*$D$96/$E$101:$E$135,0),$E$101:$E$135))*K29/E124,0),ROUND($D$96*K29/E124,0))</f>
        <v>4</v>
      </c>
      <c r="E124" s="79">
        <f t="shared" si="56"/>
        <v>132.81</v>
      </c>
      <c r="F124" s="5">
        <f t="shared" si="53"/>
        <v>531.24</v>
      </c>
      <c r="G124" s="5">
        <f t="shared" si="57"/>
        <v>132.81</v>
      </c>
      <c r="H124" s="5">
        <f t="shared" si="54"/>
        <v>531.24</v>
      </c>
      <c r="I124" s="6">
        <f t="shared" si="58"/>
        <v>2.9513333333333332E-2</v>
      </c>
      <c r="J124" s="6">
        <f t="shared" si="59"/>
        <v>2.9437075148963911E-2</v>
      </c>
      <c r="K124" s="22">
        <f t="shared" si="60"/>
        <v>7.6258184369421694E-5</v>
      </c>
      <c r="L124" s="21"/>
      <c r="M124" s="21"/>
      <c r="N124" s="21"/>
      <c r="O124" s="21"/>
    </row>
    <row r="125" spans="2:15" ht="15.5" hidden="1" outlineLevel="1" thickTop="1" thickBot="1" x14ac:dyDescent="0.4">
      <c r="B125" s="3" t="str">
        <f t="shared" ref="B125:C125" si="83">B30</f>
        <v>GCC</v>
      </c>
      <c r="C125" s="3" t="str">
        <f t="shared" si="83"/>
        <v>Grupo Cementos de Chihuahua SAB de CV</v>
      </c>
      <c r="D125" s="3">
        <f t="array" ref="D125">IF(SUMPRODUCT(ROUND($K$6:$K$40*$D$96/$E$101:$E$135,0),$E$101:$E$135)&gt;$D$96,ROUND($D$96*($D$96/SUMPRODUCT(ROUND($K$6:$K$40*$D$96/$E$101:$E$135,0),$E$101:$E$135))*K30/E125,0),ROUND($D$96*K30/E125,0))</f>
        <v>3</v>
      </c>
      <c r="E125" s="79">
        <f t="shared" si="56"/>
        <v>206.4</v>
      </c>
      <c r="F125" s="5">
        <f t="shared" si="53"/>
        <v>619.20000000000005</v>
      </c>
      <c r="G125" s="5">
        <f t="shared" si="57"/>
        <v>206.4</v>
      </c>
      <c r="H125" s="5">
        <f t="shared" si="54"/>
        <v>619.20000000000005</v>
      </c>
      <c r="I125" s="6">
        <f t="shared" si="58"/>
        <v>3.44E-2</v>
      </c>
      <c r="J125" s="6">
        <f t="shared" si="59"/>
        <v>3.20237076840773E-2</v>
      </c>
      <c r="K125" s="22">
        <f t="shared" si="60"/>
        <v>2.3762923159226998E-3</v>
      </c>
      <c r="L125" s="21"/>
      <c r="M125" s="21"/>
      <c r="N125" s="21"/>
      <c r="O125" s="21"/>
    </row>
    <row r="126" spans="2:15" ht="15.5" hidden="1" outlineLevel="1" thickTop="1" thickBot="1" x14ac:dyDescent="0.4">
      <c r="B126" s="3" t="str">
        <f t="shared" ref="B126:C126" si="84">B31</f>
        <v>GFNORTEO</v>
      </c>
      <c r="C126" s="3" t="str">
        <f t="shared" si="84"/>
        <v>Grupo Financiero Banorte O</v>
      </c>
      <c r="D126" s="3">
        <f t="array" ref="D126">IF(SUMPRODUCT(ROUND($K$6:$K$40*$D$96/$E$101:$E$135,0),$E$101:$E$135)&gt;$D$96,ROUND($D$96*($D$96/SUMPRODUCT(ROUND($K$6:$K$40*$D$96/$E$101:$E$135,0),$E$101:$E$135))*K31/E126,0),ROUND($D$96*K31/E126,0))</f>
        <v>3</v>
      </c>
      <c r="E126" s="79">
        <f t="shared" si="56"/>
        <v>189.68</v>
      </c>
      <c r="F126" s="5">
        <f t="shared" si="53"/>
        <v>569.04</v>
      </c>
      <c r="G126" s="5">
        <f t="shared" si="57"/>
        <v>189.68</v>
      </c>
      <c r="H126" s="5">
        <f t="shared" si="54"/>
        <v>569.04</v>
      </c>
      <c r="I126" s="6">
        <f t="shared" si="58"/>
        <v>3.1613333333333334E-2</v>
      </c>
      <c r="J126" s="6">
        <f t="shared" si="59"/>
        <v>3.36337589895669E-2</v>
      </c>
      <c r="K126" s="22">
        <f t="shared" si="60"/>
        <v>-2.0204256562335668E-3</v>
      </c>
      <c r="L126" s="21"/>
      <c r="M126" s="21"/>
      <c r="N126" s="21"/>
      <c r="O126" s="21"/>
    </row>
    <row r="127" spans="2:15" ht="15.5" hidden="1" outlineLevel="1" thickTop="1" thickBot="1" x14ac:dyDescent="0.4">
      <c r="B127" s="3" t="str">
        <f t="shared" ref="B127:C127" si="85">B32</f>
        <v>GFINBURO</v>
      </c>
      <c r="C127" s="3" t="str">
        <f t="shared" si="85"/>
        <v>Grupo Financiero Inbursa O</v>
      </c>
      <c r="D127" s="3">
        <f t="array" ref="D127">IF(SUMPRODUCT(ROUND($K$6:$K$40*$D$96/$E$101:$E$135,0),$E$101:$E$135)&gt;$D$96,ROUND($D$96*($D$96/SUMPRODUCT(ROUND($K$6:$K$40*$D$96/$E$101:$E$135,0),$E$101:$E$135))*K32/E127,0),ROUND($D$96*K32/E127,0))</f>
        <v>12</v>
      </c>
      <c r="E127" s="79">
        <f t="shared" si="56"/>
        <v>43</v>
      </c>
      <c r="F127" s="5">
        <f t="shared" si="53"/>
        <v>516</v>
      </c>
      <c r="G127" s="5">
        <f t="shared" si="57"/>
        <v>43</v>
      </c>
      <c r="H127" s="5">
        <f t="shared" si="54"/>
        <v>516</v>
      </c>
      <c r="I127" s="6">
        <f t="shared" si="58"/>
        <v>2.8666666666666667E-2</v>
      </c>
      <c r="J127" s="6">
        <f t="shared" si="59"/>
        <v>2.7639509608281002E-2</v>
      </c>
      <c r="K127" s="22">
        <f t="shared" si="60"/>
        <v>1.0271570583856651E-3</v>
      </c>
      <c r="L127" s="21"/>
      <c r="M127" s="21"/>
      <c r="N127" s="21"/>
      <c r="O127" s="21"/>
    </row>
    <row r="128" spans="2:15" ht="15.5" hidden="1" outlineLevel="1" thickTop="1" thickBot="1" x14ac:dyDescent="0.4">
      <c r="B128" s="3" t="str">
        <f t="shared" ref="B128:C128" si="86">B33</f>
        <v>KIMBERA</v>
      </c>
      <c r="C128" s="3" t="str">
        <f t="shared" si="86"/>
        <v>Kimberly Clark de Mexico S.A.B. de C.V. A</v>
      </c>
      <c r="D128" s="3">
        <f t="array" ref="D128">IF(SUMPRODUCT(ROUND($K$6:$K$40*$D$96/$E$101:$E$135,0),$E$101:$E$135)&gt;$D$96,ROUND($D$96*($D$96/SUMPRODUCT(ROUND($K$6:$K$40*$D$96/$E$101:$E$135,0),$E$101:$E$135))*K33/E128,0),ROUND($D$96*K33/E128,0))</f>
        <v>16</v>
      </c>
      <c r="E128" s="79">
        <f t="shared" si="56"/>
        <v>39.5</v>
      </c>
      <c r="F128" s="5">
        <f t="shared" si="53"/>
        <v>632</v>
      </c>
      <c r="G128" s="5">
        <f t="shared" si="57"/>
        <v>39.5</v>
      </c>
      <c r="H128" s="5">
        <f t="shared" si="54"/>
        <v>632</v>
      </c>
      <c r="I128" s="6">
        <f t="shared" si="58"/>
        <v>3.5111111111111114E-2</v>
      </c>
      <c r="J128" s="6">
        <f t="shared" si="59"/>
        <v>3.5020389078655963E-2</v>
      </c>
      <c r="K128" s="22">
        <f t="shared" si="60"/>
        <v>9.0722032455151091E-5</v>
      </c>
      <c r="L128" s="21"/>
      <c r="M128" s="21"/>
      <c r="N128" s="21"/>
      <c r="O128" s="21"/>
    </row>
    <row r="129" spans="2:15" ht="15.5" hidden="1" outlineLevel="1" thickTop="1" thickBot="1" x14ac:dyDescent="0.4">
      <c r="B129" s="3" t="str">
        <f t="shared" ref="B129:C129" si="87">B34</f>
        <v>MEGACPO</v>
      </c>
      <c r="C129" s="3" t="str">
        <f t="shared" si="87"/>
        <v>Megacable Holdings SAB de CV</v>
      </c>
      <c r="D129" s="3">
        <f t="array" ref="D129">IF(SUMPRODUCT(ROUND($K$6:$K$40*$D$96/$E$101:$E$135,0),$E$101:$E$135)&gt;$D$96,ROUND($D$96*($D$96/SUMPRODUCT(ROUND($K$6:$K$40*$D$96/$E$101:$E$135,0),$E$101:$E$135))*K34/E129,0),ROUND($D$96*K34/E129,0))</f>
        <v>6</v>
      </c>
      <c r="E129" s="79">
        <f t="shared" si="56"/>
        <v>61.15</v>
      </c>
      <c r="F129" s="5">
        <f t="shared" si="53"/>
        <v>366.9</v>
      </c>
      <c r="G129" s="5">
        <f t="shared" si="57"/>
        <v>61.15</v>
      </c>
      <c r="H129" s="5">
        <f t="shared" si="54"/>
        <v>366.9</v>
      </c>
      <c r="I129" s="6">
        <f t="shared" si="58"/>
        <v>2.0383333333333333E-2</v>
      </c>
      <c r="J129" s="6">
        <f t="shared" si="59"/>
        <v>2.0330665748352645E-2</v>
      </c>
      <c r="K129" s="22">
        <f t="shared" si="60"/>
        <v>5.2667584980688187E-5</v>
      </c>
      <c r="L129" s="21"/>
      <c r="M129" s="21"/>
      <c r="N129" s="21"/>
      <c r="O129" s="21"/>
    </row>
    <row r="130" spans="2:15" ht="15.5" hidden="1" outlineLevel="1" thickTop="1" thickBot="1" x14ac:dyDescent="0.4">
      <c r="B130" s="3" t="str">
        <f t="shared" ref="B130:C130" si="88">B35</f>
        <v>Q</v>
      </c>
      <c r="C130" s="3" t="str">
        <f t="shared" si="88"/>
        <v>Qualitas Controladora S.A.B de C.V.</v>
      </c>
      <c r="D130" s="3">
        <f t="array" ref="D130">IF(SUMPRODUCT(ROUND($K$6:$K$40*$D$96/$E$101:$E$135,0),$E$101:$E$135)&gt;$D$96,ROUND($D$96*($D$96/SUMPRODUCT(ROUND($K$6:$K$40*$D$96/$E$101:$E$135,0),$E$101:$E$135))*K35/E130,0),ROUND($D$96*K35/E130,0))</f>
        <v>4</v>
      </c>
      <c r="E130" s="79">
        <f t="shared" si="56"/>
        <v>174.21</v>
      </c>
      <c r="F130" s="5">
        <f t="shared" si="53"/>
        <v>696.84</v>
      </c>
      <c r="G130" s="5">
        <f t="shared" si="57"/>
        <v>174.21</v>
      </c>
      <c r="H130" s="5">
        <f t="shared" si="54"/>
        <v>696.84</v>
      </c>
      <c r="I130" s="6">
        <f t="shared" si="58"/>
        <v>3.8713333333333336E-2</v>
      </c>
      <c r="J130" s="6">
        <f t="shared" si="59"/>
        <v>3.4751973311730314E-2</v>
      </c>
      <c r="K130" s="22">
        <f t="shared" si="60"/>
        <v>3.961360021603022E-3</v>
      </c>
      <c r="L130" s="21"/>
      <c r="M130" s="21"/>
      <c r="N130" s="21"/>
      <c r="O130" s="21"/>
    </row>
    <row r="131" spans="2:15" ht="15.5" hidden="1" outlineLevel="1" thickTop="1" thickBot="1" x14ac:dyDescent="0.4">
      <c r="B131" s="3" t="str">
        <f t="shared" ref="B131:C131" si="89">B36</f>
        <v>RA</v>
      </c>
      <c r="C131" s="3" t="str">
        <f t="shared" si="89"/>
        <v>Regional, S.A. de C.V.</v>
      </c>
      <c r="D131" s="3">
        <f t="array" ref="D131">IF(SUMPRODUCT(ROUND($K$6:$K$40*$D$96/$E$101:$E$135,0),$E$101:$E$135)&gt;$D$96,ROUND($D$96*($D$96/SUMPRODUCT(ROUND($K$6:$K$40*$D$96/$E$101:$E$135,0),$E$101:$E$135))*K36/E131,0),ROUND($D$96*K36/E131,0))</f>
        <v>4</v>
      </c>
      <c r="E131" s="79">
        <f t="shared" si="56"/>
        <v>147.19999999999999</v>
      </c>
      <c r="F131" s="5">
        <f t="shared" si="53"/>
        <v>588.79999999999995</v>
      </c>
      <c r="G131" s="5">
        <f t="shared" si="57"/>
        <v>147.19999999999999</v>
      </c>
      <c r="H131" s="5">
        <f t="shared" si="54"/>
        <v>588.79999999999995</v>
      </c>
      <c r="I131" s="6">
        <f t="shared" si="58"/>
        <v>3.2711111111111107E-2</v>
      </c>
      <c r="J131" s="6">
        <f t="shared" si="59"/>
        <v>3.2626590331507326E-2</v>
      </c>
      <c r="K131" s="22">
        <f t="shared" si="60"/>
        <v>8.4520779603781959E-5</v>
      </c>
      <c r="L131" s="21"/>
      <c r="M131" s="21"/>
      <c r="N131" s="21"/>
      <c r="O131" s="21"/>
    </row>
    <row r="132" spans="2:15" ht="15.5" hidden="1" outlineLevel="1" thickTop="1" thickBot="1" x14ac:dyDescent="0.4">
      <c r="B132" s="3" t="str">
        <f t="shared" ref="B132:C132" si="90">B37</f>
        <v>GENTERA</v>
      </c>
      <c r="C132" s="3" t="str">
        <f t="shared" si="90"/>
        <v>Gentera SAB de CV</v>
      </c>
      <c r="D132" s="3">
        <f t="array" ref="D132">IF(SUMPRODUCT(ROUND($K$6:$K$40*$D$96/$E$101:$E$135,0),$E$101:$E$135)&gt;$D$96,ROUND($D$96*($D$96/SUMPRODUCT(ROUND($K$6:$K$40*$D$96/$E$101:$E$135,0),$E$101:$E$135))*K37/E132,0),ROUND($D$96*K37/E132,0))</f>
        <v>7</v>
      </c>
      <c r="E132" s="79">
        <f t="shared" si="56"/>
        <v>45.76</v>
      </c>
      <c r="F132" s="5">
        <f t="shared" si="53"/>
        <v>320.32</v>
      </c>
      <c r="G132" s="5">
        <f t="shared" si="57"/>
        <v>45.76</v>
      </c>
      <c r="H132" s="5">
        <f t="shared" si="54"/>
        <v>320.32</v>
      </c>
      <c r="I132" s="6">
        <f t="shared" si="58"/>
        <v>1.7795555555555554E-2</v>
      </c>
      <c r="J132" s="6">
        <f t="shared" si="59"/>
        <v>1.7242443716498763E-2</v>
      </c>
      <c r="K132" s="22">
        <f t="shared" si="60"/>
        <v>5.5311183905679129E-4</v>
      </c>
      <c r="L132" s="21"/>
      <c r="M132" s="21"/>
      <c r="N132" s="21"/>
      <c r="O132" s="21"/>
    </row>
    <row r="133" spans="2:15" ht="15.5" hidden="1" outlineLevel="1" thickTop="1" thickBot="1" x14ac:dyDescent="0.4">
      <c r="B133" s="3" t="str">
        <f t="shared" ref="B133:C133" si="91">B38</f>
        <v>CHDRAUIB</v>
      </c>
      <c r="C133" s="3" t="str">
        <f t="shared" si="91"/>
        <v>Grupo Comercial Chedraui SA de CV</v>
      </c>
      <c r="D133" s="3">
        <f t="array" ref="D133">IF(SUMPRODUCT(ROUND($K$6:$K$40*$D$96/$E$101:$E$135,0),$E$101:$E$135)&gt;$D$96,ROUND($D$96*($D$96/SUMPRODUCT(ROUND($K$6:$K$40*$D$96/$E$101:$E$135,0),$E$101:$E$135))*K38/E133,0),ROUND($D$96*K38/E133,0))</f>
        <v>2</v>
      </c>
      <c r="E133" s="79">
        <f t="shared" si="56"/>
        <v>102.29</v>
      </c>
      <c r="F133" s="5">
        <f t="shared" si="53"/>
        <v>204.58</v>
      </c>
      <c r="G133" s="5">
        <f t="shared" si="57"/>
        <v>102.29</v>
      </c>
      <c r="H133" s="5">
        <f t="shared" si="54"/>
        <v>204.58</v>
      </c>
      <c r="I133" s="6">
        <f t="shared" si="58"/>
        <v>1.1365555555555556E-2</v>
      </c>
      <c r="J133" s="6">
        <f t="shared" si="59"/>
        <v>1.1336188603973793E-2</v>
      </c>
      <c r="K133" s="22">
        <f t="shared" si="60"/>
        <v>2.936695158176246E-5</v>
      </c>
      <c r="L133" s="21"/>
      <c r="M133" s="21"/>
      <c r="N133" s="21"/>
      <c r="O133" s="21"/>
    </row>
    <row r="134" spans="2:15" ht="15.5" hidden="1" outlineLevel="1" thickTop="1" thickBot="1" x14ac:dyDescent="0.4">
      <c r="B134" s="3" t="str">
        <f t="shared" ref="B134:C135" si="92">B39</f>
        <v>LACOMERUBC</v>
      </c>
      <c r="C134" s="3" t="str">
        <f t="shared" si="92"/>
        <v>La Comer, S.A.B. de C.V.</v>
      </c>
      <c r="D134" s="3">
        <f t="array" ref="D134">IF(SUMPRODUCT(ROUND($K$6:$K$40*$D$96/$E$101:$E$135,0),$E$101:$E$135)&gt;$D$96,ROUND($D$96*($D$96/SUMPRODUCT(ROUND($K$6:$K$40*$D$96/$E$101:$E$135,0),$E$101:$E$135))*K39/E134,0),ROUND($D$96*K39/E134,0))</f>
        <v>9</v>
      </c>
      <c r="E134" s="79">
        <f t="shared" si="56"/>
        <v>39.700000000000003</v>
      </c>
      <c r="F134" s="5">
        <f t="shared" si="53"/>
        <v>357.3</v>
      </c>
      <c r="G134" s="5">
        <f t="shared" si="57"/>
        <v>39.700000000000003</v>
      </c>
      <c r="H134" s="5">
        <f t="shared" si="54"/>
        <v>357.3</v>
      </c>
      <c r="I134" s="6">
        <f t="shared" si="58"/>
        <v>1.985E-2</v>
      </c>
      <c r="J134" s="6">
        <f t="shared" si="59"/>
        <v>1.9358739127403872E-2</v>
      </c>
      <c r="K134" s="22">
        <f t="shared" si="60"/>
        <v>4.9126087259612761E-4</v>
      </c>
      <c r="L134" s="21"/>
      <c r="M134" s="21"/>
      <c r="N134" s="21"/>
      <c r="O134" s="21"/>
    </row>
    <row r="135" spans="2:15" ht="15.5" hidden="1" outlineLevel="1" thickTop="1" thickBot="1" x14ac:dyDescent="0.4">
      <c r="B135" s="3" t="str">
        <f t="shared" si="92"/>
        <v>VOLARA</v>
      </c>
      <c r="C135" s="3" t="str">
        <f t="shared" si="92"/>
        <v>Controladora Vuela Compania de Aviacion SAB de CV</v>
      </c>
      <c r="D135" s="3">
        <f t="array" ref="D135">IF(SUMPRODUCT(ROUND($K$6:$K$40*$D$96/$E$101:$E$135,0),$E$101:$E$135)&gt;$D$96,ROUND($D$96*($D$96/SUMPRODUCT(ROUND($K$6:$K$40*$D$96/$E$101:$E$135,0),$E$101:$E$135))*K40/E135,0),ROUND($D$96*K40/E135,0))</f>
        <v>57</v>
      </c>
      <c r="E135" s="79">
        <f t="shared" si="56"/>
        <v>13.06</v>
      </c>
      <c r="F135" s="5">
        <f t="shared" si="53"/>
        <v>744.42000000000007</v>
      </c>
      <c r="G135" s="5">
        <f t="shared" si="57"/>
        <v>13.06</v>
      </c>
      <c r="H135" s="5">
        <f t="shared" si="54"/>
        <v>744.42000000000007</v>
      </c>
      <c r="I135" s="6">
        <f t="shared" si="58"/>
        <v>4.1356666666666674E-2</v>
      </c>
      <c r="J135" s="6">
        <f t="shared" si="59"/>
        <v>4.1684015517014908E-2</v>
      </c>
      <c r="K135" s="22">
        <f t="shared" si="60"/>
        <v>-3.2734885034823441E-4</v>
      </c>
      <c r="L135" s="21"/>
      <c r="M135" s="21"/>
      <c r="N135" s="21"/>
      <c r="O135" s="21"/>
    </row>
    <row r="136" spans="2:15" ht="15.5" hidden="1" outlineLevel="1" thickTop="1" thickBot="1" x14ac:dyDescent="0.4">
      <c r="B136" s="3" t="s">
        <v>7</v>
      </c>
      <c r="C136" s="3"/>
      <c r="D136" s="7">
        <f>D96-SUMPRODUCT(D101:D135,E101:E135)</f>
        <v>-40.650000000001455</v>
      </c>
      <c r="E136" s="4"/>
      <c r="F136" s="5"/>
      <c r="G136" s="5"/>
      <c r="H136" s="5">
        <f>D136</f>
        <v>-40.650000000001455</v>
      </c>
      <c r="I136" s="6">
        <f>H136/$H$138</f>
        <v>-2.2583333333334142E-3</v>
      </c>
      <c r="J136" s="6">
        <f t="shared" si="59"/>
        <v>9.5143460237950821E-3</v>
      </c>
      <c r="K136" s="22">
        <f t="shared" si="60"/>
        <v>-1.1772679357128496E-2</v>
      </c>
      <c r="L136" s="21"/>
      <c r="M136" s="21"/>
      <c r="N136" s="21"/>
      <c r="O136" s="21"/>
    </row>
    <row r="137" spans="2:15" ht="15.5" hidden="1" customHeight="1" outlineLevel="1" thickTop="1" thickBot="1" x14ac:dyDescent="0.4">
      <c r="K137" s="23"/>
      <c r="L137" s="21"/>
      <c r="M137" s="24"/>
      <c r="N137" s="21"/>
      <c r="O137" s="21"/>
    </row>
    <row r="138" spans="2:15" ht="15.5" hidden="1" customHeight="1" outlineLevel="1" thickBot="1" x14ac:dyDescent="0.4">
      <c r="B138" s="10" t="s">
        <v>10</v>
      </c>
      <c r="C138" s="10"/>
      <c r="D138" s="10"/>
      <c r="E138" s="10"/>
      <c r="F138" s="11"/>
      <c r="G138" s="11"/>
      <c r="H138" s="11">
        <f>SUM(H101:H136)</f>
        <v>18000</v>
      </c>
      <c r="I138" s="12">
        <f>SUM(I101:I136)</f>
        <v>0.99999999999999989</v>
      </c>
      <c r="J138" s="12">
        <f>SUM(J101:J136)</f>
        <v>1.0000000000000002</v>
      </c>
      <c r="K138" s="13">
        <f t="array" ref="K138">SUM(ABS(K101:K136))</f>
        <v>6.3792854265358134E-2</v>
      </c>
      <c r="L138" s="25" t="str">
        <f>IF(K138&lt;0.1,"Excelente",IF(AND(K138&lt;=0.2,K138&gt;=0.1),"Buena",IF(AND(K138&lt;=0.35,K138&gt;0.2),"Regular","Mala")))</f>
        <v>Excelente</v>
      </c>
    </row>
    <row r="139" spans="2:15" ht="20.5" hidden="1" customHeight="1" outlineLevel="1" thickTop="1" thickBot="1" x14ac:dyDescent="0.4">
      <c r="K139" s="150" t="s">
        <v>14</v>
      </c>
      <c r="L139" s="151"/>
    </row>
    <row r="140" spans="2:15" collapsed="1" x14ac:dyDescent="0.35"/>
    <row r="141" spans="2:15" x14ac:dyDescent="0.35">
      <c r="F141" s="9"/>
    </row>
    <row r="142" spans="2:15" x14ac:dyDescent="0.35">
      <c r="F142" s="9"/>
    </row>
    <row r="143" spans="2:15" x14ac:dyDescent="0.35">
      <c r="F143" s="9"/>
    </row>
    <row r="144" spans="2:15" x14ac:dyDescent="0.35">
      <c r="F144" s="9"/>
    </row>
    <row r="145" spans="5:6" x14ac:dyDescent="0.35">
      <c r="F145" s="9"/>
    </row>
    <row r="146" spans="5:6" x14ac:dyDescent="0.35">
      <c r="F146" s="9"/>
    </row>
    <row r="147" spans="5:6" x14ac:dyDescent="0.35">
      <c r="F147" s="9"/>
    </row>
    <row r="148" spans="5:6" x14ac:dyDescent="0.35">
      <c r="F148" s="9"/>
    </row>
    <row r="149" spans="5:6" x14ac:dyDescent="0.35">
      <c r="F149" s="9"/>
    </row>
    <row r="150" spans="5:6" x14ac:dyDescent="0.35">
      <c r="E150" s="91"/>
      <c r="F150" s="19"/>
    </row>
  </sheetData>
  <sheetProtection algorithmName="SHA-512" hashValue="Y8SegBlkfxWlrIvBB13Bw1sXC+CS9+DCVV1U+DYFEyVrfqNJrXymgpcxP82dwxZORAS7blgTS2N1IfgTz1wPbw==" saltValue="mFhUIWe9cMy14zB3Jg/xzQ==" spinCount="100000" sheet="1" objects="1" scenarios="1" formatRows="0"/>
  <mergeCells count="14">
    <mergeCell ref="M92:N92"/>
    <mergeCell ref="B49:K50"/>
    <mergeCell ref="B97:K97"/>
    <mergeCell ref="B3:C3"/>
    <mergeCell ref="K139:L139"/>
    <mergeCell ref="B46:C46"/>
    <mergeCell ref="B52:C52"/>
    <mergeCell ref="B48:C48"/>
    <mergeCell ref="F2:G2"/>
    <mergeCell ref="B2:C2"/>
    <mergeCell ref="B99:C99"/>
    <mergeCell ref="B96:C96"/>
    <mergeCell ref="B95:C95"/>
    <mergeCell ref="B47:C47"/>
  </mergeCells>
  <conditionalFormatting sqref="E101:E135">
    <cfRule type="expression" dxfId="30" priority="25">
      <formula>#REF!="Último cierre"</formula>
    </cfRule>
  </conditionalFormatting>
  <conditionalFormatting sqref="J6:J40 D48">
    <cfRule type="cellIs" dxfId="29" priority="6" operator="lessThan">
      <formula>0</formula>
    </cfRule>
    <cfRule type="cellIs" dxfId="28" priority="7" operator="greaterThan">
      <formula>0</formula>
    </cfRule>
  </conditionalFormatting>
  <conditionalFormatting sqref="J43:J45">
    <cfRule type="cellIs" dxfId="27" priority="36" operator="lessThan">
      <formula>0</formula>
    </cfRule>
    <cfRule type="cellIs" dxfId="26" priority="37" operator="greaterThan">
      <formula>0</formula>
    </cfRule>
  </conditionalFormatting>
  <conditionalFormatting sqref="J54:J88 J91:J92">
    <cfRule type="cellIs" dxfId="25" priority="4" operator="lessThan">
      <formula>0</formula>
    </cfRule>
    <cfRule type="cellIs" dxfId="24" priority="5" operator="greaterThan">
      <formula>0</formula>
    </cfRule>
  </conditionalFormatting>
  <conditionalFormatting sqref="K101:K137">
    <cfRule type="dataBar" priority="98">
      <dataBar>
        <cfvo type="min"/>
        <cfvo type="max"/>
        <color rgb="FF638EC6"/>
      </dataBar>
      <extLst>
        <ext xmlns:x14="http://schemas.microsoft.com/office/spreadsheetml/2009/9/main" uri="{B025F937-C7B1-47D3-B67F-A62EFF666E3E}">
          <x14:id>{DC2930AF-6D1F-44AA-8DAA-385425FF4B23}</x14:id>
        </ext>
      </extLst>
    </cfRule>
  </conditionalFormatting>
  <conditionalFormatting sqref="K138">
    <cfRule type="dataBar" priority="23">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138">
    <cfRule type="containsText" dxfId="23" priority="15" operator="containsText" text="Mala">
      <formula>NOT(ISERROR(SEARCH("Mala",L138)))</formula>
    </cfRule>
    <cfRule type="containsText" dxfId="22" priority="16" operator="containsText" text="Regular">
      <formula>NOT(ISERROR(SEARCH("Regular",L138)))</formula>
    </cfRule>
    <cfRule type="containsText" dxfId="21" priority="17" operator="containsText" text="Buena">
      <formula>NOT(ISERROR(SEARCH("Buena",L138)))</formula>
    </cfRule>
    <cfRule type="containsText" dxfId="20" priority="18" operator="containsText" text="Excelente">
      <formula>NOT(ISERROR(SEARCH("Excelente",L138)))</formula>
    </cfRule>
  </conditionalFormatting>
  <conditionalFormatting sqref="M54:M90">
    <cfRule type="dataBar" priority="75">
      <dataBar>
        <cfvo type="min"/>
        <cfvo type="max"/>
        <color rgb="FF638EC6"/>
      </dataBar>
      <extLst>
        <ext xmlns:x14="http://schemas.microsoft.com/office/spreadsheetml/2009/9/main" uri="{B025F937-C7B1-47D3-B67F-A62EFF666E3E}">
          <x14:id>{A6C38E43-9828-4B60-9E45-6183185C3C99}</x14:id>
        </ext>
      </extLst>
    </cfRule>
  </conditionalFormatting>
  <conditionalFormatting sqref="M91">
    <cfRule type="dataBar" priority="12">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91">
    <cfRule type="containsText" dxfId="19" priority="8" operator="containsText" text="Mala">
      <formula>NOT(ISERROR(SEARCH("Mala",N91)))</formula>
    </cfRule>
    <cfRule type="containsText" dxfId="18" priority="9" operator="containsText" text="Regular">
      <formula>NOT(ISERROR(SEARCH("Regular",N91)))</formula>
    </cfRule>
    <cfRule type="containsText" dxfId="17" priority="10" operator="containsText" text="Buena">
      <formula>NOT(ISERROR(SEARCH("Buena",N91)))</formula>
    </cfRule>
    <cfRule type="containsText" dxfId="16" priority="11" operator="containsText" text="Excelente">
      <formula>NOT(ISERROR(SEARCH("Excelente",N91)))</formula>
    </cfRule>
  </conditionalFormatting>
  <conditionalFormatting sqref="I41">
    <cfRule type="cellIs" dxfId="15" priority="1" operator="lessThan">
      <formula>0</formula>
    </cfRule>
    <cfRule type="cellIs" dxfId="14" priority="2" operator="greaterThan">
      <formula>0</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K101:K137</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K138</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M54:M90</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M91</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181"/>
  <sheetViews>
    <sheetView showGridLines="0" showRowColHeaders="0" topLeftCell="A36" zoomScale="80" zoomScaleNormal="80" workbookViewId="0">
      <selection activeCell="B89" sqref="B89"/>
    </sheetView>
  </sheetViews>
  <sheetFormatPr baseColWidth="10" defaultRowHeight="14.5" outlineLevelRow="1" x14ac:dyDescent="0.35"/>
  <cols>
    <col min="1" max="1" width="3.08984375" customWidth="1"/>
    <col min="2" max="2" width="12.36328125" customWidth="1"/>
    <col min="3" max="3" width="34.54296875" customWidth="1"/>
    <col min="6" max="6" width="13.08984375" customWidth="1"/>
    <col min="7" max="7" width="11.26953125" customWidth="1"/>
    <col min="8" max="8" width="11.6328125" customWidth="1"/>
    <col min="9" max="10" width="12.6328125" customWidth="1"/>
    <col min="18" max="18" width="10.90625" customWidth="1"/>
  </cols>
  <sheetData>
    <row r="1" spans="2:17" ht="9.5" customHeight="1" x14ac:dyDescent="0.35"/>
    <row r="2" spans="2:17" ht="15" x14ac:dyDescent="0.4">
      <c r="B2" s="146" t="s">
        <v>0</v>
      </c>
      <c r="C2" s="146"/>
      <c r="D2" s="78">
        <v>46142</v>
      </c>
      <c r="F2" s="145" t="s">
        <v>45</v>
      </c>
      <c r="G2" s="145"/>
      <c r="H2" s="116">
        <v>0</v>
      </c>
      <c r="J2" s="113">
        <v>7.0559999999999998E-2</v>
      </c>
    </row>
    <row r="3" spans="2:17" ht="15" x14ac:dyDescent="0.4">
      <c r="B3" s="154" t="s">
        <v>24</v>
      </c>
      <c r="C3" s="154"/>
      <c r="D3" s="66">
        <v>25000</v>
      </c>
      <c r="J3" s="113">
        <v>0</v>
      </c>
    </row>
    <row r="4" spans="2:17" ht="15.5" thickBot="1" x14ac:dyDescent="0.45">
      <c r="B4" s="56"/>
      <c r="C4" s="56"/>
      <c r="I4" s="28"/>
    </row>
    <row r="5" spans="2:17" ht="16.5" thickBot="1" x14ac:dyDescent="0.5">
      <c r="B5" s="30"/>
      <c r="C5" s="21"/>
      <c r="D5" s="156" t="s">
        <v>17</v>
      </c>
      <c r="E5" s="157"/>
      <c r="F5" s="157"/>
      <c r="G5" s="157"/>
      <c r="H5" s="157"/>
      <c r="I5" s="157"/>
      <c r="J5" s="158"/>
      <c r="K5" s="160" t="s">
        <v>18</v>
      </c>
      <c r="L5" s="161"/>
      <c r="M5" s="161"/>
      <c r="N5" s="162"/>
      <c r="O5" s="21"/>
    </row>
    <row r="6" spans="2:17" ht="36" thickTop="1" thickBot="1" x14ac:dyDescent="0.4">
      <c r="B6" s="1" t="s">
        <v>1</v>
      </c>
      <c r="C6" s="31" t="s">
        <v>2</v>
      </c>
      <c r="D6" s="32" t="s">
        <v>3</v>
      </c>
      <c r="E6" s="62" t="s">
        <v>8</v>
      </c>
      <c r="F6" s="64" t="s">
        <v>22</v>
      </c>
      <c r="G6" s="33" t="s">
        <v>6</v>
      </c>
      <c r="H6" s="64" t="s">
        <v>23</v>
      </c>
      <c r="I6" s="33" t="s">
        <v>20</v>
      </c>
      <c r="J6" s="33" t="s">
        <v>21</v>
      </c>
      <c r="K6" s="63" t="s">
        <v>3</v>
      </c>
      <c r="L6" s="63" t="s">
        <v>8</v>
      </c>
      <c r="M6" s="34" t="s">
        <v>9</v>
      </c>
      <c r="N6" s="35" t="s">
        <v>6</v>
      </c>
      <c r="O6" s="36" t="s">
        <v>19</v>
      </c>
    </row>
    <row r="7" spans="2:17" ht="15.5" thickTop="1" thickBot="1" x14ac:dyDescent="0.4">
      <c r="B7" s="3" t="s">
        <v>81</v>
      </c>
      <c r="C7" s="37" t="str">
        <f>IFERROR(VLOOKUP(B7,GICS!$A:$B,2,0),0)</f>
        <v>Grupo Aeroportuario del Pacifico, S.A.B. de C.V.</v>
      </c>
      <c r="D7" s="38">
        <v>3</v>
      </c>
      <c r="E7" s="65">
        <v>214.37476239885609</v>
      </c>
      <c r="F7" s="5">
        <v>387.27</v>
      </c>
      <c r="G7" s="6">
        <f t="shared" ref="G7:G41" si="0">D7*F7/$F$48</f>
        <v>2.7662696899010596E-2</v>
      </c>
      <c r="H7" s="5">
        <v>438.21</v>
      </c>
      <c r="I7" s="5">
        <v>0</v>
      </c>
      <c r="J7" s="58">
        <f>(H7+I7/D7)/F7-1</f>
        <v>0.13153613757843363</v>
      </c>
      <c r="K7" s="107">
        <f t="shared" ref="K7:K45" si="1">D7+D51</f>
        <v>3</v>
      </c>
      <c r="L7" s="65">
        <f t="shared" ref="L7:L40" si="2">IF(K7&gt;0,IF(K7&gt;D7,(D7*E7+(K7-D7)*E51)/K7,E7),0)</f>
        <v>214.37476239885609</v>
      </c>
      <c r="M7" s="4">
        <f>K7*H7</f>
        <v>1314.6299999999999</v>
      </c>
      <c r="N7" s="39">
        <f t="shared" ref="N7:N41" si="3">M7/$M$48</f>
        <v>2.913851524966676E-2</v>
      </c>
      <c r="O7" s="40">
        <f>N7-G7</f>
        <v>1.4758183506561641E-3</v>
      </c>
      <c r="Q7" s="8"/>
    </row>
    <row r="8" spans="2:17" ht="15.5" thickTop="1" thickBot="1" x14ac:dyDescent="0.4">
      <c r="B8" s="3" t="s">
        <v>166</v>
      </c>
      <c r="C8" s="37" t="str">
        <f>IFERROR(VLOOKUP(B8,GICS!$A:$B,2,0),0)</f>
        <v>Sigma Foods SAB de CV</v>
      </c>
      <c r="D8" s="38">
        <v>78</v>
      </c>
      <c r="E8" s="65">
        <v>13.200222211900369</v>
      </c>
      <c r="F8" s="5">
        <v>14.01</v>
      </c>
      <c r="G8" s="6">
        <f t="shared" si="0"/>
        <v>2.6019092551536654E-2</v>
      </c>
      <c r="H8" s="5">
        <v>16.55</v>
      </c>
      <c r="I8" s="5">
        <v>18.809856</v>
      </c>
      <c r="J8" s="58">
        <f t="shared" ref="J8:J45" si="4">(H8+I8/D8)/F8-1</f>
        <v>0.19851192005710216</v>
      </c>
      <c r="K8" s="107">
        <f t="shared" si="1"/>
        <v>59</v>
      </c>
      <c r="L8" s="65">
        <f t="shared" si="2"/>
        <v>13.200222211900369</v>
      </c>
      <c r="M8" s="4">
        <f t="shared" ref="M8:M41" si="5">K8*H8</f>
        <v>976.45</v>
      </c>
      <c r="N8" s="39">
        <f t="shared" si="3"/>
        <v>2.1642822098641528E-2</v>
      </c>
      <c r="O8" s="40">
        <f t="shared" ref="O8:O10" si="6">N8-G8</f>
        <v>-4.3762704528951257E-3</v>
      </c>
      <c r="Q8" s="8"/>
    </row>
    <row r="9" spans="2:17" ht="15.5" thickTop="1" thickBot="1" x14ac:dyDescent="0.4">
      <c r="B9" s="3" t="s">
        <v>103</v>
      </c>
      <c r="C9" s="37" t="str">
        <f>IFERROR(VLOOKUP(B9,GICS!$A:$B,2,0),0)</f>
        <v>Walmart de Mexico SAB de CV</v>
      </c>
      <c r="D9" s="38">
        <v>20</v>
      </c>
      <c r="E9" s="65">
        <v>62.286719778696693</v>
      </c>
      <c r="F9" s="5">
        <v>61.42</v>
      </c>
      <c r="G9" s="6">
        <f t="shared" si="0"/>
        <v>2.9248204844806482E-2</v>
      </c>
      <c r="H9" s="5">
        <v>55.07</v>
      </c>
      <c r="I9" s="5">
        <v>33.799999999999997</v>
      </c>
      <c r="J9" s="58">
        <f t="shared" si="4"/>
        <v>-7.5871051774666243E-2</v>
      </c>
      <c r="K9" s="107">
        <f t="shared" si="1"/>
        <v>16</v>
      </c>
      <c r="L9" s="65">
        <f t="shared" si="2"/>
        <v>62.286719778696693</v>
      </c>
      <c r="M9" s="4">
        <f t="shared" si="5"/>
        <v>881.12</v>
      </c>
      <c r="N9" s="39">
        <f t="shared" si="3"/>
        <v>1.9529851408218571E-2</v>
      </c>
      <c r="O9" s="40">
        <f t="shared" si="6"/>
        <v>-9.7183534365879107E-3</v>
      </c>
      <c r="Q9" s="8"/>
    </row>
    <row r="10" spans="2:17" ht="15.5" thickTop="1" thickBot="1" x14ac:dyDescent="0.4">
      <c r="B10" s="3" t="s">
        <v>82</v>
      </c>
      <c r="C10" s="37" t="str">
        <f>IFERROR(VLOOKUP(B10,GICS!$A:$B,2,0),0)</f>
        <v>ORBIA ADVANCE CORPORATION SAB de CV</v>
      </c>
      <c r="D10" s="38">
        <v>83</v>
      </c>
      <c r="E10" s="65">
        <v>25.34134430943703</v>
      </c>
      <c r="F10" s="5">
        <v>16.89</v>
      </c>
      <c r="G10" s="6">
        <f t="shared" si="0"/>
        <v>3.3378525664106859E-2</v>
      </c>
      <c r="H10" s="5">
        <v>20.91</v>
      </c>
      <c r="I10" s="5">
        <v>0</v>
      </c>
      <c r="J10" s="58">
        <f t="shared" si="4"/>
        <v>0.23801065719360559</v>
      </c>
      <c r="K10" s="107">
        <f t="shared" si="1"/>
        <v>75</v>
      </c>
      <c r="L10" s="65">
        <f t="shared" si="2"/>
        <v>25.34134430943703</v>
      </c>
      <c r="M10" s="4">
        <f t="shared" si="5"/>
        <v>1568.25</v>
      </c>
      <c r="N10" s="39">
        <f t="shared" si="3"/>
        <v>3.4759952640887479E-2</v>
      </c>
      <c r="O10" s="40">
        <f t="shared" si="6"/>
        <v>1.3814269767806198E-3</v>
      </c>
      <c r="Q10" s="8"/>
    </row>
    <row r="11" spans="2:17" ht="15.5" thickTop="1" thickBot="1" x14ac:dyDescent="0.4">
      <c r="B11" s="3" t="s">
        <v>64</v>
      </c>
      <c r="C11" s="37" t="str">
        <f>IFERROR(VLOOKUP(B11,GICS!$A:$B,2,0),0)</f>
        <v>Grupo Aeroportuario del Centro Norte, S.A.B. de C.V.</v>
      </c>
      <c r="D11" s="38">
        <v>4</v>
      </c>
      <c r="E11" s="65">
        <v>106.4765609741211</v>
      </c>
      <c r="F11" s="5">
        <v>228.94</v>
      </c>
      <c r="G11" s="6">
        <f t="shared" si="0"/>
        <v>2.1804246229794839E-2</v>
      </c>
      <c r="H11" s="5">
        <v>231.83</v>
      </c>
      <c r="I11" s="5">
        <v>23.070323999999999</v>
      </c>
      <c r="J11" s="58">
        <f t="shared" si="4"/>
        <v>3.7815938673888549E-2</v>
      </c>
      <c r="K11" s="107">
        <f t="shared" si="1"/>
        <v>8</v>
      </c>
      <c r="L11" s="65">
        <f t="shared" si="2"/>
        <v>169.15328048706056</v>
      </c>
      <c r="M11" s="4">
        <f t="shared" si="5"/>
        <v>1854.64</v>
      </c>
      <c r="N11" s="39">
        <f t="shared" si="3"/>
        <v>4.1107730633442086E-2</v>
      </c>
      <c r="O11" s="40">
        <f>N11-G11</f>
        <v>1.9303484403647247E-2</v>
      </c>
      <c r="Q11" s="8"/>
    </row>
    <row r="12" spans="2:17" ht="15.5" thickTop="1" thickBot="1" x14ac:dyDescent="0.4">
      <c r="B12" s="3" t="s">
        <v>65</v>
      </c>
      <c r="C12" s="37" t="str">
        <f>IFERROR(VLOOKUP(B12,GICS!$A:$B,2,0),0)</f>
        <v>Grupo Televisa SAB CPO</v>
      </c>
      <c r="D12" s="38">
        <v>160</v>
      </c>
      <c r="E12" s="65">
        <v>15.705863472696883</v>
      </c>
      <c r="F12" s="5">
        <v>9.68</v>
      </c>
      <c r="G12" s="6">
        <f t="shared" si="0"/>
        <v>3.6876929065154898E-2</v>
      </c>
      <c r="H12" s="5">
        <v>9.9600000000000009</v>
      </c>
      <c r="I12" s="5">
        <v>0</v>
      </c>
      <c r="J12" s="58">
        <f t="shared" si="4"/>
        <v>2.8925619834710758E-2</v>
      </c>
      <c r="K12" s="107">
        <f t="shared" si="1"/>
        <v>105</v>
      </c>
      <c r="L12" s="65">
        <f t="shared" si="2"/>
        <v>15.705863472696883</v>
      </c>
      <c r="M12" s="4">
        <f t="shared" si="5"/>
        <v>1045.8000000000002</v>
      </c>
      <c r="N12" s="39">
        <f t="shared" si="3"/>
        <v>2.3179951201555957E-2</v>
      </c>
      <c r="O12" s="40">
        <f t="shared" ref="O12:O45" si="7">N12-G12</f>
        <v>-1.3696977863598941E-2</v>
      </c>
      <c r="Q12" s="8"/>
    </row>
    <row r="13" spans="2:17" ht="15.5" thickTop="1" thickBot="1" x14ac:dyDescent="0.4">
      <c r="B13" s="3" t="s">
        <v>66</v>
      </c>
      <c r="C13" s="37" t="str">
        <f>IFERROR(VLOOKUP(B13,GICS!$A:$B,2,0),0)</f>
        <v>Cemex SA CPO</v>
      </c>
      <c r="D13" s="38">
        <v>62</v>
      </c>
      <c r="E13" s="65">
        <v>10.886807264820224</v>
      </c>
      <c r="F13" s="5">
        <v>18.88</v>
      </c>
      <c r="G13" s="6">
        <f t="shared" si="0"/>
        <v>2.7871034405028226E-2</v>
      </c>
      <c r="H13" s="5">
        <v>21.45</v>
      </c>
      <c r="I13" s="5">
        <v>4.9466699999999992</v>
      </c>
      <c r="J13" s="58">
        <f t="shared" si="4"/>
        <v>0.14034878177966115</v>
      </c>
      <c r="K13" s="107">
        <f t="shared" si="1"/>
        <v>73</v>
      </c>
      <c r="L13" s="65">
        <f t="shared" si="2"/>
        <v>12.478521238614436</v>
      </c>
      <c r="M13" s="4">
        <f t="shared" si="5"/>
        <v>1565.85</v>
      </c>
      <c r="N13" s="39">
        <f t="shared" si="3"/>
        <v>3.4706757113173059E-2</v>
      </c>
      <c r="O13" s="40">
        <f t="shared" si="7"/>
        <v>6.8357227081448334E-3</v>
      </c>
      <c r="Q13" s="8"/>
    </row>
    <row r="14" spans="2:17" ht="15.5" thickTop="1" thickBot="1" x14ac:dyDescent="0.4">
      <c r="B14" s="3" t="s">
        <v>67</v>
      </c>
      <c r="C14" s="37" t="str">
        <f>IFERROR(VLOOKUP(B14,GICS!$A:$B,2,0),0)</f>
        <v>Promotora y Operadora de Infraestructura SAB de CV</v>
      </c>
      <c r="D14" s="38">
        <v>4</v>
      </c>
      <c r="E14" s="65">
        <v>142.14872741699222</v>
      </c>
      <c r="F14" s="5">
        <v>240.61</v>
      </c>
      <c r="G14" s="6">
        <f t="shared" si="0"/>
        <v>2.2915697061898038E-2</v>
      </c>
      <c r="H14" s="5">
        <v>276.60000000000002</v>
      </c>
      <c r="I14" s="5">
        <v>9.5457391999999999</v>
      </c>
      <c r="J14" s="58">
        <f t="shared" si="4"/>
        <v>0.15949642491999505</v>
      </c>
      <c r="K14" s="107">
        <f t="shared" si="1"/>
        <v>5</v>
      </c>
      <c r="L14" s="65">
        <f t="shared" si="2"/>
        <v>169.03898193359379</v>
      </c>
      <c r="M14" s="4">
        <f t="shared" si="5"/>
        <v>1383</v>
      </c>
      <c r="N14" s="39">
        <f t="shared" si="3"/>
        <v>3.0653922845431135E-2</v>
      </c>
      <c r="O14" s="40">
        <f t="shared" si="7"/>
        <v>7.7382257835330974E-3</v>
      </c>
      <c r="Q14" s="8"/>
    </row>
    <row r="15" spans="2:17" ht="15.5" thickTop="1" thickBot="1" x14ac:dyDescent="0.4">
      <c r="B15" s="3" t="s">
        <v>104</v>
      </c>
      <c r="C15" s="37" t="str">
        <f>IFERROR(VLOOKUP(B15,GICS!$A:$B,2,0),0)</f>
        <v>Grupo Mexico SAB de CV B</v>
      </c>
      <c r="D15" s="38">
        <v>6</v>
      </c>
      <c r="E15" s="65">
        <v>75.837009429931641</v>
      </c>
      <c r="F15" s="5">
        <v>160.62</v>
      </c>
      <c r="G15" s="6">
        <f t="shared" si="0"/>
        <v>2.2946173862778332E-2</v>
      </c>
      <c r="H15" s="5">
        <v>191.2</v>
      </c>
      <c r="I15" s="5">
        <v>18</v>
      </c>
      <c r="J15" s="58">
        <f t="shared" si="4"/>
        <v>0.20906487361474269</v>
      </c>
      <c r="K15" s="107">
        <f t="shared" si="1"/>
        <v>12</v>
      </c>
      <c r="L15" s="65">
        <f t="shared" si="2"/>
        <v>133.51850471496581</v>
      </c>
      <c r="M15" s="4">
        <f t="shared" si="5"/>
        <v>2294.3999999999996</v>
      </c>
      <c r="N15" s="39">
        <f t="shared" si="3"/>
        <v>5.0854924494979886E-2</v>
      </c>
      <c r="O15" s="40">
        <f t="shared" si="7"/>
        <v>2.7908750632201555E-2</v>
      </c>
      <c r="Q15" s="8"/>
    </row>
    <row r="16" spans="2:17" ht="15.5" thickTop="1" thickBot="1" x14ac:dyDescent="0.4">
      <c r="B16" s="3" t="s">
        <v>105</v>
      </c>
      <c r="C16" s="37" t="str">
        <f>IFERROR(VLOOKUP(B16,GICS!$A:$B,2,0),0)</f>
        <v>Arca Continental, SAB de CV</v>
      </c>
      <c r="D16" s="38">
        <v>5</v>
      </c>
      <c r="E16" s="65">
        <v>145.40785159628908</v>
      </c>
      <c r="F16" s="5">
        <v>179.94</v>
      </c>
      <c r="G16" s="6">
        <f t="shared" si="0"/>
        <v>2.1421857618749911E-2</v>
      </c>
      <c r="H16" s="5">
        <v>209.87</v>
      </c>
      <c r="I16" s="5">
        <v>26.400000000000002</v>
      </c>
      <c r="J16" s="58">
        <f t="shared" si="4"/>
        <v>0.19567633655663008</v>
      </c>
      <c r="K16" s="107">
        <f t="shared" si="1"/>
        <v>5</v>
      </c>
      <c r="L16" s="65">
        <f t="shared" si="2"/>
        <v>145.40785159628908</v>
      </c>
      <c r="M16" s="4">
        <f t="shared" si="5"/>
        <v>1049.3499999999999</v>
      </c>
      <c r="N16" s="39">
        <f t="shared" si="3"/>
        <v>2.3258636252966855E-2</v>
      </c>
      <c r="O16" s="40">
        <f t="shared" si="7"/>
        <v>1.8367786342169436E-3</v>
      </c>
      <c r="Q16" s="8"/>
    </row>
    <row r="17" spans="2:17" ht="15.5" thickTop="1" thickBot="1" x14ac:dyDescent="0.4">
      <c r="B17" s="3" t="s">
        <v>68</v>
      </c>
      <c r="C17" s="37" t="str">
        <f>IFERROR(VLOOKUP(B17,GICS!$A:$B,2,0),0)</f>
        <v>Fomento Economico Mexicano S.A.B. de C.V.</v>
      </c>
      <c r="D17" s="38">
        <v>6</v>
      </c>
      <c r="E17" s="65">
        <v>173.36246256510415</v>
      </c>
      <c r="F17" s="5">
        <v>175.26</v>
      </c>
      <c r="G17" s="6">
        <f t="shared" si="0"/>
        <v>2.5037644323188456E-2</v>
      </c>
      <c r="H17" s="5">
        <v>206.45</v>
      </c>
      <c r="I17" s="5">
        <v>41.254049999999999</v>
      </c>
      <c r="J17" s="58">
        <f t="shared" si="4"/>
        <v>0.217195452470615</v>
      </c>
      <c r="K17" s="107">
        <f t="shared" si="1"/>
        <v>4</v>
      </c>
      <c r="L17" s="65">
        <f t="shared" si="2"/>
        <v>173.36246256510415</v>
      </c>
      <c r="M17" s="4">
        <f t="shared" si="5"/>
        <v>825.8</v>
      </c>
      <c r="N17" s="39">
        <f t="shared" si="3"/>
        <v>1.8303694494401324E-2</v>
      </c>
      <c r="O17" s="40">
        <f t="shared" si="7"/>
        <v>-6.7339498287871322E-3</v>
      </c>
      <c r="Q17" s="8"/>
    </row>
    <row r="18" spans="2:17" ht="15.5" thickTop="1" thickBot="1" x14ac:dyDescent="0.4">
      <c r="B18" s="3" t="s">
        <v>83</v>
      </c>
      <c r="C18" s="37" t="str">
        <f>IFERROR(VLOOKUP(B18,GICS!$A:$B,2,0),0)</f>
        <v>America Movil SAB de CV B</v>
      </c>
      <c r="D18" s="38">
        <v>54</v>
      </c>
      <c r="E18" s="65">
        <v>17.89131815760463</v>
      </c>
      <c r="F18" s="5">
        <v>21.19</v>
      </c>
      <c r="G18" s="6">
        <f t="shared" si="0"/>
        <v>2.7244831386940949E-2</v>
      </c>
      <c r="H18" s="5">
        <v>23.21</v>
      </c>
      <c r="I18" s="5">
        <v>14.040000000000001</v>
      </c>
      <c r="J18" s="58">
        <f t="shared" si="4"/>
        <v>0.10759792354884379</v>
      </c>
      <c r="K18" s="107">
        <f t="shared" si="1"/>
        <v>53</v>
      </c>
      <c r="L18" s="65">
        <f t="shared" si="2"/>
        <v>17.89131815760463</v>
      </c>
      <c r="M18" s="4">
        <f t="shared" si="5"/>
        <v>1230.1300000000001</v>
      </c>
      <c r="N18" s="39">
        <f t="shared" si="3"/>
        <v>2.7265589378055101E-2</v>
      </c>
      <c r="O18" s="40">
        <f t="shared" si="7"/>
        <v>2.0757991114152274E-5</v>
      </c>
      <c r="Q18" s="8"/>
    </row>
    <row r="19" spans="2:17" ht="15.5" thickTop="1" thickBot="1" x14ac:dyDescent="0.4">
      <c r="B19" s="3" t="s">
        <v>69</v>
      </c>
      <c r="C19" s="37" t="str">
        <f>IFERROR(VLOOKUP(B19,GICS!$A:$B,2,0),0)</f>
        <v>Coca-Cola Femsa SAB de CV UBL</v>
      </c>
      <c r="D19" s="38">
        <v>4</v>
      </c>
      <c r="E19" s="65">
        <v>124.75869461059571</v>
      </c>
      <c r="F19" s="5">
        <v>159.84</v>
      </c>
      <c r="G19" s="6">
        <f t="shared" si="0"/>
        <v>1.5223162039706506E-2</v>
      </c>
      <c r="H19" s="5">
        <v>176.96</v>
      </c>
      <c r="I19" s="5">
        <v>15.100000000000001</v>
      </c>
      <c r="J19" s="58">
        <f t="shared" si="4"/>
        <v>0.13072447447447444</v>
      </c>
      <c r="K19" s="107">
        <f t="shared" si="1"/>
        <v>5</v>
      </c>
      <c r="L19" s="65">
        <f t="shared" si="2"/>
        <v>135.19895568847659</v>
      </c>
      <c r="M19" s="4">
        <f t="shared" si="5"/>
        <v>884.80000000000007</v>
      </c>
      <c r="N19" s="39">
        <f t="shared" si="3"/>
        <v>1.9611417884047341E-2</v>
      </c>
      <c r="O19" s="40">
        <f t="shared" si="7"/>
        <v>4.3882558443408357E-3</v>
      </c>
      <c r="Q19" s="8"/>
    </row>
    <row r="20" spans="2:17" ht="15.5" thickTop="1" thickBot="1" x14ac:dyDescent="0.4">
      <c r="B20" s="3" t="s">
        <v>70</v>
      </c>
      <c r="C20" s="37" t="str">
        <f>IFERROR(VLOOKUP(B20,GICS!$A:$B,2,0),0)</f>
        <v>Alsea SA</v>
      </c>
      <c r="D20" s="38">
        <v>26</v>
      </c>
      <c r="E20" s="65">
        <v>44.863605736849273</v>
      </c>
      <c r="F20" s="5">
        <v>51.31</v>
      </c>
      <c r="G20" s="6">
        <f t="shared" si="0"/>
        <v>3.1763969517471936E-2</v>
      </c>
      <c r="H20" s="5">
        <v>51.42</v>
      </c>
      <c r="I20" s="5">
        <v>0</v>
      </c>
      <c r="J20" s="58">
        <f t="shared" si="4"/>
        <v>2.1438316117716738E-3</v>
      </c>
      <c r="K20" s="107">
        <f t="shared" si="1"/>
        <v>20</v>
      </c>
      <c r="L20" s="65">
        <f t="shared" si="2"/>
        <v>44.863605736849273</v>
      </c>
      <c r="M20" s="4">
        <f t="shared" si="5"/>
        <v>1028.4000000000001</v>
      </c>
      <c r="N20" s="39">
        <f t="shared" si="3"/>
        <v>2.2794283625626452E-2</v>
      </c>
      <c r="O20" s="40">
        <f t="shared" si="7"/>
        <v>-8.9696858918454844E-3</v>
      </c>
      <c r="Q20" s="8"/>
    </row>
    <row r="21" spans="2:17" ht="15.5" thickTop="1" thickBot="1" x14ac:dyDescent="0.4">
      <c r="B21" s="3" t="s">
        <v>71</v>
      </c>
      <c r="C21" s="37" t="str">
        <f>IFERROR(VLOOKUP(B21,GICS!$A:$B,2,0),0)</f>
        <v>Gruma SAB B</v>
      </c>
      <c r="D21" s="38">
        <v>2</v>
      </c>
      <c r="E21" s="65">
        <v>225.28848266601563</v>
      </c>
      <c r="F21" s="5">
        <v>315.29000000000002</v>
      </c>
      <c r="G21" s="6">
        <f t="shared" si="0"/>
        <v>1.5014110233668243E-2</v>
      </c>
      <c r="H21" s="5">
        <v>303.16000000000003</v>
      </c>
      <c r="I21" s="5">
        <v>5.76</v>
      </c>
      <c r="J21" s="58">
        <f t="shared" si="4"/>
        <v>-2.9338069713596981E-2</v>
      </c>
      <c r="K21" s="107">
        <f t="shared" si="1"/>
        <v>3</v>
      </c>
      <c r="L21" s="65">
        <f t="shared" si="2"/>
        <v>251.24565511067712</v>
      </c>
      <c r="M21" s="4">
        <f t="shared" si="5"/>
        <v>909.48</v>
      </c>
      <c r="N21" s="39">
        <f t="shared" si="3"/>
        <v>2.0158445227377232E-2</v>
      </c>
      <c r="O21" s="40">
        <f t="shared" si="7"/>
        <v>5.1443349937089888E-3</v>
      </c>
      <c r="Q21" s="8"/>
    </row>
    <row r="22" spans="2:17" ht="15.5" thickTop="1" thickBot="1" x14ac:dyDescent="0.4">
      <c r="B22" s="3" t="s">
        <v>84</v>
      </c>
      <c r="C22" s="37" t="str">
        <f>IFERROR(VLOOKUP(B22,GICS!$A:$B,2,0),0)</f>
        <v>Grupo Aeroportuario del Sureste SAB de CV B</v>
      </c>
      <c r="D22" s="38">
        <v>2</v>
      </c>
      <c r="E22" s="65">
        <v>366.07857259114581</v>
      </c>
      <c r="F22" s="5">
        <v>561.99</v>
      </c>
      <c r="G22" s="6">
        <f t="shared" si="0"/>
        <v>2.6761964572993801E-2</v>
      </c>
      <c r="H22" s="5">
        <v>532.34</v>
      </c>
      <c r="I22" s="5">
        <v>30</v>
      </c>
      <c r="J22" s="58">
        <f t="shared" si="4"/>
        <v>-2.6068079503194008E-2</v>
      </c>
      <c r="K22" s="107">
        <f t="shared" si="1"/>
        <v>2</v>
      </c>
      <c r="L22" s="65">
        <f t="shared" si="2"/>
        <v>366.07857259114581</v>
      </c>
      <c r="M22" s="4">
        <f t="shared" si="5"/>
        <v>1064.68</v>
      </c>
      <c r="N22" s="39">
        <f t="shared" si="3"/>
        <v>2.3598422686242678E-2</v>
      </c>
      <c r="O22" s="40">
        <f t="shared" si="7"/>
        <v>-3.1635418867511228E-3</v>
      </c>
      <c r="Q22" s="8"/>
    </row>
    <row r="23" spans="2:17" ht="15.5" thickTop="1" thickBot="1" x14ac:dyDescent="0.4">
      <c r="B23" s="3" t="s">
        <v>72</v>
      </c>
      <c r="C23" s="37" t="str">
        <f>IFERROR(VLOOKUP(B23,GICS!$A:$B,2,0),0)</f>
        <v>Grupo Bimbo S.A.B.</v>
      </c>
      <c r="D23" s="38">
        <v>20</v>
      </c>
      <c r="E23" s="65">
        <v>62.03131586013567</v>
      </c>
      <c r="F23" s="5">
        <v>64.2</v>
      </c>
      <c r="G23" s="6">
        <f t="shared" si="0"/>
        <v>3.0572040883044219E-2</v>
      </c>
      <c r="H23" s="5">
        <v>59.48</v>
      </c>
      <c r="I23" s="5">
        <v>0</v>
      </c>
      <c r="J23" s="58">
        <f t="shared" si="4"/>
        <v>-7.3520249221183942E-2</v>
      </c>
      <c r="K23" s="107">
        <f t="shared" si="1"/>
        <v>23</v>
      </c>
      <c r="L23" s="65">
        <f t="shared" si="2"/>
        <v>61.698535530552761</v>
      </c>
      <c r="M23" s="4">
        <f t="shared" si="5"/>
        <v>1368.04</v>
      </c>
      <c r="N23" s="39">
        <f t="shared" si="3"/>
        <v>3.032233738934462E-2</v>
      </c>
      <c r="O23" s="40">
        <f t="shared" si="7"/>
        <v>-2.4970349369959899E-4</v>
      </c>
      <c r="Q23" s="8"/>
    </row>
    <row r="24" spans="2:17" ht="15.5" thickTop="1" thickBot="1" x14ac:dyDescent="0.4">
      <c r="B24" s="3" t="s">
        <v>73</v>
      </c>
      <c r="C24" s="37" t="str">
        <f>IFERROR(VLOOKUP(B24,GICS!$A:$B,2,0),0)</f>
        <v>Industrias Penoles</v>
      </c>
      <c r="D24" s="38">
        <v>2</v>
      </c>
      <c r="E24" s="65">
        <v>261.60172780354816</v>
      </c>
      <c r="F24" s="5">
        <v>769.09</v>
      </c>
      <c r="G24" s="6">
        <f t="shared" si="0"/>
        <v>3.6624066857851217E-2</v>
      </c>
      <c r="H24" s="5">
        <v>880.7</v>
      </c>
      <c r="I24" s="5">
        <v>0</v>
      </c>
      <c r="J24" s="58">
        <f t="shared" si="4"/>
        <v>0.14511955687890876</v>
      </c>
      <c r="K24" s="107">
        <f t="shared" si="1"/>
        <v>2</v>
      </c>
      <c r="L24" s="65">
        <f t="shared" si="2"/>
        <v>261.60172780354816</v>
      </c>
      <c r="M24" s="4">
        <f t="shared" si="5"/>
        <v>1761.4</v>
      </c>
      <c r="N24" s="39">
        <f t="shared" si="3"/>
        <v>3.9041084381737097E-2</v>
      </c>
      <c r="O24" s="40">
        <f t="shared" si="7"/>
        <v>2.4170175238858796E-3</v>
      </c>
      <c r="Q24" s="8"/>
    </row>
    <row r="25" spans="2:17" ht="15.5" thickTop="1" thickBot="1" x14ac:dyDescent="0.4">
      <c r="B25" s="3" t="s">
        <v>106</v>
      </c>
      <c r="C25" s="37" t="str">
        <f>IFERROR(VLOOKUP(B25,GICS!$A:$B,2,0),0)</f>
        <v>Banco del Bajio, S.A.</v>
      </c>
      <c r="D25" s="38">
        <v>38</v>
      </c>
      <c r="E25" s="65">
        <v>39.455265540501649</v>
      </c>
      <c r="F25" s="5">
        <v>47.57</v>
      </c>
      <c r="G25" s="6">
        <f t="shared" si="0"/>
        <v>4.3040385843180463E-2</v>
      </c>
      <c r="H25" s="5">
        <v>54.68</v>
      </c>
      <c r="I25" s="5">
        <v>34.133310000000002</v>
      </c>
      <c r="J25" s="58">
        <f t="shared" si="4"/>
        <v>0.16834654193819643</v>
      </c>
      <c r="K25" s="107">
        <f t="shared" si="1"/>
        <v>26</v>
      </c>
      <c r="L25" s="65">
        <f t="shared" si="2"/>
        <v>39.455265540501649</v>
      </c>
      <c r="M25" s="4">
        <f t="shared" si="5"/>
        <v>1421.68</v>
      </c>
      <c r="N25" s="39">
        <f t="shared" si="3"/>
        <v>3.1511257433761777E-2</v>
      </c>
      <c r="O25" s="40">
        <f t="shared" si="7"/>
        <v>-1.1529128409418686E-2</v>
      </c>
      <c r="Q25" s="8"/>
    </row>
    <row r="26" spans="2:17" ht="15.5" thickTop="1" thickBot="1" x14ac:dyDescent="0.4">
      <c r="B26" s="3" t="s">
        <v>85</v>
      </c>
      <c r="C26" s="37" t="str">
        <f>IFERROR(VLOOKUP(B26,GICS!$A:$B,2,0),0)</f>
        <v>Becle, S.A. De C.V.</v>
      </c>
      <c r="D26" s="38">
        <v>40</v>
      </c>
      <c r="E26" s="65">
        <v>29.51410168034668</v>
      </c>
      <c r="F26" s="5">
        <v>22.77</v>
      </c>
      <c r="G26" s="6">
        <f t="shared" si="0"/>
        <v>2.1686148626383701E-2</v>
      </c>
      <c r="H26" s="5">
        <v>14.07</v>
      </c>
      <c r="I26" s="5">
        <v>0</v>
      </c>
      <c r="J26" s="58">
        <f t="shared" si="4"/>
        <v>-0.38208168642951246</v>
      </c>
      <c r="K26" s="107">
        <f t="shared" si="1"/>
        <v>0</v>
      </c>
      <c r="L26" s="65">
        <f t="shared" si="2"/>
        <v>0</v>
      </c>
      <c r="M26" s="4">
        <f t="shared" si="5"/>
        <v>0</v>
      </c>
      <c r="N26" s="39">
        <f t="shared" si="3"/>
        <v>0</v>
      </c>
      <c r="O26" s="40">
        <f t="shared" si="7"/>
        <v>-2.1686148626383701E-2</v>
      </c>
      <c r="Q26" s="8"/>
    </row>
    <row r="27" spans="2:17" ht="15.5" thickTop="1" thickBot="1" x14ac:dyDescent="0.4">
      <c r="B27" s="3" t="s">
        <v>86</v>
      </c>
      <c r="C27" s="37" t="str">
        <f>IFERROR(VLOOKUP(B27,GICS!$A:$B,2,0),0)</f>
        <v>Bolsa Mexicana de Valores SA de CV</v>
      </c>
      <c r="D27" s="38">
        <v>26</v>
      </c>
      <c r="E27" s="65">
        <v>32.440134892927055</v>
      </c>
      <c r="F27" s="5">
        <v>35.46</v>
      </c>
      <c r="G27" s="6">
        <f t="shared" si="0"/>
        <v>2.1951868234058761E-2</v>
      </c>
      <c r="H27" s="5">
        <v>39.35</v>
      </c>
      <c r="I27" s="5">
        <v>0</v>
      </c>
      <c r="J27" s="58">
        <f t="shared" si="4"/>
        <v>0.10970107163000575</v>
      </c>
      <c r="K27" s="107">
        <f t="shared" si="1"/>
        <v>31</v>
      </c>
      <c r="L27" s="65">
        <f t="shared" si="2"/>
        <v>33.554629265035594</v>
      </c>
      <c r="M27" s="4">
        <f t="shared" si="5"/>
        <v>1219.8500000000001</v>
      </c>
      <c r="N27" s="39">
        <f t="shared" si="3"/>
        <v>2.7037735201011697E-2</v>
      </c>
      <c r="O27" s="40">
        <f t="shared" si="7"/>
        <v>5.0858669669529358E-3</v>
      </c>
      <c r="Q27" s="8"/>
    </row>
    <row r="28" spans="2:17" ht="15.5" thickTop="1" thickBot="1" x14ac:dyDescent="0.4">
      <c r="B28" s="3" t="s">
        <v>74</v>
      </c>
      <c r="C28" s="37" t="str">
        <f>IFERROR(VLOOKUP(B28,GICS!$A:$B,2,0),0)</f>
        <v>Corporacion Inmobiliaria Vesta, S.A.B. DE C.V.</v>
      </c>
      <c r="D28" s="38">
        <v>14</v>
      </c>
      <c r="E28" s="65">
        <v>45.589759726845188</v>
      </c>
      <c r="F28" s="5">
        <v>56.4</v>
      </c>
      <c r="G28" s="6">
        <f t="shared" si="0"/>
        <v>1.8800376543030933E-2</v>
      </c>
      <c r="H28" s="5">
        <v>62.18</v>
      </c>
      <c r="I28" s="5">
        <v>4.9123082400000007</v>
      </c>
      <c r="J28" s="58">
        <f t="shared" si="4"/>
        <v>0.10870353120567366</v>
      </c>
      <c r="K28" s="107">
        <f t="shared" si="1"/>
        <v>16</v>
      </c>
      <c r="L28" s="65">
        <f t="shared" si="2"/>
        <v>47.663539760989543</v>
      </c>
      <c r="M28" s="4">
        <f t="shared" si="5"/>
        <v>994.88</v>
      </c>
      <c r="N28" s="39">
        <f t="shared" si="3"/>
        <v>2.20513194218818E-2</v>
      </c>
      <c r="O28" s="40">
        <f t="shared" si="7"/>
        <v>3.2509428788508668E-3</v>
      </c>
      <c r="Q28" s="8"/>
    </row>
    <row r="29" spans="2:17" ht="15.5" thickTop="1" thickBot="1" x14ac:dyDescent="0.4">
      <c r="B29" s="3" t="s">
        <v>87</v>
      </c>
      <c r="C29" s="37" t="str">
        <f>IFERROR(VLOOKUP(B29,GICS!$A:$B,2,0),0)</f>
        <v>El Puerto de Liverpool SAB de CV</v>
      </c>
      <c r="D29" s="38">
        <v>13</v>
      </c>
      <c r="E29" s="65">
        <v>110.69042565377103</v>
      </c>
      <c r="F29" s="5">
        <v>90.57</v>
      </c>
      <c r="G29" s="6">
        <f t="shared" si="0"/>
        <v>2.8034132909739166E-2</v>
      </c>
      <c r="H29" s="5">
        <v>103.44</v>
      </c>
      <c r="I29" s="5">
        <v>0</v>
      </c>
      <c r="J29" s="58">
        <f t="shared" si="4"/>
        <v>0.14210003312355091</v>
      </c>
      <c r="K29" s="107">
        <f t="shared" si="1"/>
        <v>13</v>
      </c>
      <c r="L29" s="65">
        <f t="shared" si="2"/>
        <v>110.69042565377103</v>
      </c>
      <c r="M29" s="4">
        <f t="shared" si="5"/>
        <v>1344.72</v>
      </c>
      <c r="N29" s="39">
        <f t="shared" si="3"/>
        <v>2.9805454178386231E-2</v>
      </c>
      <c r="O29" s="40">
        <f t="shared" si="7"/>
        <v>1.7713212686470657E-3</v>
      </c>
      <c r="Q29" s="8"/>
    </row>
    <row r="30" spans="2:17" ht="15.5" thickTop="1" thickBot="1" x14ac:dyDescent="0.4">
      <c r="B30" s="3" t="s">
        <v>107</v>
      </c>
      <c r="C30" s="37" t="str">
        <f>IFERROR(VLOOKUP(B30,GICS!$A:$B,2,0),0)</f>
        <v>Genomma Lab Internacional SA de CV</v>
      </c>
      <c r="D30" s="38">
        <v>106</v>
      </c>
      <c r="E30" s="65">
        <v>17.420248615291882</v>
      </c>
      <c r="F30" s="5">
        <v>18.18</v>
      </c>
      <c r="G30" s="6">
        <f t="shared" si="0"/>
        <v>4.5883776125309077E-2</v>
      </c>
      <c r="H30" s="5">
        <v>16.48</v>
      </c>
      <c r="I30" s="5">
        <v>42.400000000000006</v>
      </c>
      <c r="J30" s="58">
        <f t="shared" si="4"/>
        <v>-7.1507150715071521E-2</v>
      </c>
      <c r="K30" s="107">
        <f t="shared" si="1"/>
        <v>96</v>
      </c>
      <c r="L30" s="65">
        <f t="shared" si="2"/>
        <v>17.420248615291882</v>
      </c>
      <c r="M30" s="4">
        <f t="shared" si="5"/>
        <v>1582.08</v>
      </c>
      <c r="N30" s="39">
        <f t="shared" si="3"/>
        <v>3.5066491869341784E-2</v>
      </c>
      <c r="O30" s="40">
        <f t="shared" si="7"/>
        <v>-1.0817284255967292E-2</v>
      </c>
      <c r="Q30" s="8"/>
    </row>
    <row r="31" spans="2:17" ht="15.5" thickTop="1" thickBot="1" x14ac:dyDescent="0.4">
      <c r="B31" s="3" t="s">
        <v>76</v>
      </c>
      <c r="C31" s="37" t="str">
        <f>IFERROR(VLOOKUP(B31,GICS!$A:$B,2,0),0)</f>
        <v>Grupo Carso SAB de CV</v>
      </c>
      <c r="D31" s="38">
        <v>6</v>
      </c>
      <c r="E31" s="65">
        <v>90.062916630333547</v>
      </c>
      <c r="F31" s="5">
        <v>132.78</v>
      </c>
      <c r="G31" s="6">
        <f t="shared" si="0"/>
        <v>1.8968951347900054E-2</v>
      </c>
      <c r="H31" s="5">
        <v>132.81</v>
      </c>
      <c r="I31" s="5">
        <v>4.5</v>
      </c>
      <c r="J31" s="58">
        <f t="shared" si="4"/>
        <v>5.8743786714867685E-3</v>
      </c>
      <c r="K31" s="107">
        <f t="shared" si="1"/>
        <v>10</v>
      </c>
      <c r="L31" s="65">
        <f t="shared" si="2"/>
        <v>107.16174997820012</v>
      </c>
      <c r="M31" s="4">
        <f t="shared" si="5"/>
        <v>1328.1</v>
      </c>
      <c r="N31" s="39">
        <f t="shared" si="3"/>
        <v>2.9437075148963911E-2</v>
      </c>
      <c r="O31" s="40">
        <f t="shared" si="7"/>
        <v>1.0468123801063857E-2</v>
      </c>
      <c r="Q31" s="8"/>
    </row>
    <row r="32" spans="2:17" ht="15.5" thickTop="1" thickBot="1" x14ac:dyDescent="0.4">
      <c r="B32" s="3" t="s">
        <v>108</v>
      </c>
      <c r="C32" s="37" t="str">
        <f>IFERROR(VLOOKUP(B32,GICS!$A:$B,2,0),0)</f>
        <v>Grupo Cementos de Chihuahua SAB de CV</v>
      </c>
      <c r="D32" s="38">
        <v>8</v>
      </c>
      <c r="E32" s="65">
        <v>145.43619755336221</v>
      </c>
      <c r="F32" s="5">
        <v>178.4</v>
      </c>
      <c r="G32" s="6">
        <f t="shared" si="0"/>
        <v>3.3981632981527031E-2</v>
      </c>
      <c r="H32" s="5">
        <v>206.4</v>
      </c>
      <c r="I32" s="5">
        <v>0</v>
      </c>
      <c r="J32" s="58">
        <f t="shared" si="4"/>
        <v>0.15695067264573992</v>
      </c>
      <c r="K32" s="107">
        <f t="shared" si="1"/>
        <v>7</v>
      </c>
      <c r="L32" s="65">
        <f t="shared" si="2"/>
        <v>145.43619755336221</v>
      </c>
      <c r="M32" s="4">
        <f t="shared" si="5"/>
        <v>1444.8</v>
      </c>
      <c r="N32" s="39">
        <f t="shared" si="3"/>
        <v>3.20237076840773E-2</v>
      </c>
      <c r="O32" s="40">
        <f t="shared" si="7"/>
        <v>-1.9579252974497308E-3</v>
      </c>
      <c r="Q32" s="8"/>
    </row>
    <row r="33" spans="2:17" ht="15.5" thickTop="1" thickBot="1" x14ac:dyDescent="0.4">
      <c r="B33" s="3" t="s">
        <v>110</v>
      </c>
      <c r="C33" s="37" t="str">
        <f>IFERROR(VLOOKUP(B33,GICS!$A:$B,2,0),0)</f>
        <v>Grupo Financiero Banorte O</v>
      </c>
      <c r="D33" s="38">
        <v>9</v>
      </c>
      <c r="E33" s="65">
        <v>120.245901088406</v>
      </c>
      <c r="F33" s="5">
        <v>174.85</v>
      </c>
      <c r="G33" s="6">
        <f t="shared" si="0"/>
        <v>3.7468607582244962E-2</v>
      </c>
      <c r="H33" s="5">
        <v>189.68</v>
      </c>
      <c r="I33" s="5">
        <v>62.916191999999995</v>
      </c>
      <c r="J33" s="58">
        <f t="shared" si="4"/>
        <v>0.12479661424077793</v>
      </c>
      <c r="K33" s="107">
        <f t="shared" si="1"/>
        <v>8</v>
      </c>
      <c r="L33" s="65">
        <f t="shared" si="2"/>
        <v>120.245901088406</v>
      </c>
      <c r="M33" s="4">
        <f t="shared" si="5"/>
        <v>1517.44</v>
      </c>
      <c r="N33" s="39">
        <f t="shared" si="3"/>
        <v>3.36337589895669E-2</v>
      </c>
      <c r="O33" s="40">
        <f t="shared" si="7"/>
        <v>-3.8348485926780612E-3</v>
      </c>
      <c r="Q33" s="8"/>
    </row>
    <row r="34" spans="2:17" ht="15.5" thickTop="1" thickBot="1" x14ac:dyDescent="0.4">
      <c r="B34" s="3" t="s">
        <v>78</v>
      </c>
      <c r="C34" s="37" t="str">
        <f>IFERROR(VLOOKUP(B34,GICS!$A:$B,2,0),0)</f>
        <v>Grupo Financiero Inbursa O</v>
      </c>
      <c r="D34" s="38">
        <v>20</v>
      </c>
      <c r="E34" s="65">
        <v>26.817781299352649</v>
      </c>
      <c r="F34" s="5">
        <v>45.12</v>
      </c>
      <c r="G34" s="6">
        <f t="shared" si="0"/>
        <v>2.1486144620606776E-2</v>
      </c>
      <c r="H34" s="5">
        <v>43</v>
      </c>
      <c r="I34" s="5">
        <v>0</v>
      </c>
      <c r="J34" s="58">
        <f t="shared" si="4"/>
        <v>-4.6985815602836878E-2</v>
      </c>
      <c r="K34" s="107">
        <f t="shared" si="1"/>
        <v>29</v>
      </c>
      <c r="L34" s="65">
        <f t="shared" si="2"/>
        <v>31.839849171967344</v>
      </c>
      <c r="M34" s="4">
        <f t="shared" si="5"/>
        <v>1247</v>
      </c>
      <c r="N34" s="39">
        <f t="shared" si="3"/>
        <v>2.7639509608281002E-2</v>
      </c>
      <c r="O34" s="40">
        <f t="shared" si="7"/>
        <v>6.1533649876742251E-3</v>
      </c>
      <c r="Q34" s="8"/>
    </row>
    <row r="35" spans="2:17" ht="15.5" thickTop="1" thickBot="1" x14ac:dyDescent="0.4">
      <c r="B35" s="3" t="s">
        <v>79</v>
      </c>
      <c r="C35" s="37" t="str">
        <f>IFERROR(VLOOKUP(B35,GICS!$A:$B,2,0),0)</f>
        <v>Kimberly Clark de Mexico S.A.B. de C.V. A</v>
      </c>
      <c r="D35" s="38">
        <v>40</v>
      </c>
      <c r="E35" s="65">
        <v>32.450085496113218</v>
      </c>
      <c r="F35" s="5">
        <v>35.96</v>
      </c>
      <c r="G35" s="6">
        <f t="shared" si="0"/>
        <v>3.4248304989229601E-2</v>
      </c>
      <c r="H35" s="5">
        <v>39.5</v>
      </c>
      <c r="I35" s="5">
        <v>42.400000000000006</v>
      </c>
      <c r="J35" s="58">
        <f t="shared" si="4"/>
        <v>0.12791991101223577</v>
      </c>
      <c r="K35" s="107">
        <f>D35+D79</f>
        <v>40</v>
      </c>
      <c r="L35" s="65">
        <f t="shared" si="2"/>
        <v>32.450085496113218</v>
      </c>
      <c r="M35" s="4">
        <f t="shared" si="5"/>
        <v>1580</v>
      </c>
      <c r="N35" s="39">
        <f t="shared" si="3"/>
        <v>3.5020389078655963E-2</v>
      </c>
      <c r="O35" s="40">
        <f t="shared" si="7"/>
        <v>7.7208408942636142E-4</v>
      </c>
    </row>
    <row r="36" spans="2:17" ht="15.5" thickTop="1" thickBot="1" x14ac:dyDescent="0.4">
      <c r="B36" s="3" t="s">
        <v>88</v>
      </c>
      <c r="C36" s="37" t="str">
        <f>IFERROR(VLOOKUP(B36,GICS!$A:$B,2,0),0)</f>
        <v>Megacable Holdings SAB de CV</v>
      </c>
      <c r="D36" s="38">
        <v>32</v>
      </c>
      <c r="E36" s="65">
        <v>45.80330199377768</v>
      </c>
      <c r="F36" s="5">
        <v>53.16</v>
      </c>
      <c r="G36" s="6">
        <f t="shared" si="0"/>
        <v>4.0503668369909797E-2</v>
      </c>
      <c r="H36" s="5">
        <v>61.15</v>
      </c>
      <c r="I36" s="5">
        <v>0</v>
      </c>
      <c r="J36" s="58">
        <f t="shared" si="4"/>
        <v>0.15030097817908206</v>
      </c>
      <c r="K36" s="107">
        <f t="shared" si="1"/>
        <v>15</v>
      </c>
      <c r="L36" s="65">
        <f t="shared" si="2"/>
        <v>45.80330199377768</v>
      </c>
      <c r="M36" s="4">
        <f t="shared" si="5"/>
        <v>917.25</v>
      </c>
      <c r="N36" s="39">
        <f t="shared" si="3"/>
        <v>2.0330665748352645E-2</v>
      </c>
      <c r="O36" s="40">
        <f t="shared" si="7"/>
        <v>-2.0173002621557152E-2</v>
      </c>
    </row>
    <row r="37" spans="2:17" ht="15.5" thickTop="1" thickBot="1" x14ac:dyDescent="0.4">
      <c r="B37" s="3" t="s">
        <v>80</v>
      </c>
      <c r="C37" s="37" t="str">
        <f>IFERROR(VLOOKUP(B37,GICS!$A:$B,2,0),0)</f>
        <v>Qualitas Controladora S.A.B de C.V.</v>
      </c>
      <c r="D37" s="38">
        <v>10</v>
      </c>
      <c r="E37" s="65">
        <v>142.67109697658202</v>
      </c>
      <c r="F37" s="5">
        <v>168.47</v>
      </c>
      <c r="G37" s="6">
        <f t="shared" si="0"/>
        <v>4.011270815861729E-2</v>
      </c>
      <c r="H37" s="5">
        <v>174.21</v>
      </c>
      <c r="I37" s="5">
        <v>50</v>
      </c>
      <c r="J37" s="58">
        <f t="shared" si="4"/>
        <v>6.375022259155938E-2</v>
      </c>
      <c r="K37" s="107">
        <f t="shared" si="1"/>
        <v>9</v>
      </c>
      <c r="L37" s="65">
        <f t="shared" si="2"/>
        <v>142.67109697658202</v>
      </c>
      <c r="M37" s="4">
        <f t="shared" si="5"/>
        <v>1567.89</v>
      </c>
      <c r="N37" s="39">
        <f t="shared" si="3"/>
        <v>3.4751973311730314E-2</v>
      </c>
      <c r="O37" s="40">
        <f t="shared" si="7"/>
        <v>-5.3607348468869762E-3</v>
      </c>
    </row>
    <row r="38" spans="2:17" ht="15.5" thickTop="1" thickBot="1" x14ac:dyDescent="0.4">
      <c r="B38" s="3" t="s">
        <v>111</v>
      </c>
      <c r="C38" s="37" t="str">
        <f>IFERROR(VLOOKUP(B38,GICS!$A:$B,2,0),0)</f>
        <v>Regional, S.A. de C.V.</v>
      </c>
      <c r="D38" s="38">
        <v>9</v>
      </c>
      <c r="E38" s="65">
        <v>112.53165021946023</v>
      </c>
      <c r="F38" s="5">
        <v>138.31</v>
      </c>
      <c r="G38" s="6">
        <f t="shared" si="0"/>
        <v>2.963845075607836E-2</v>
      </c>
      <c r="H38" s="5">
        <v>147.19999999999999</v>
      </c>
      <c r="I38" s="5">
        <v>75.149999999999991</v>
      </c>
      <c r="J38" s="58">
        <f t="shared" si="4"/>
        <v>0.12464753090882796</v>
      </c>
      <c r="K38" s="107">
        <f t="shared" si="1"/>
        <v>10</v>
      </c>
      <c r="L38" s="65">
        <f t="shared" si="2"/>
        <v>115.99848519751421</v>
      </c>
      <c r="M38" s="4">
        <f t="shared" si="5"/>
        <v>1472</v>
      </c>
      <c r="N38" s="39">
        <f t="shared" si="3"/>
        <v>3.2626590331507326E-2</v>
      </c>
      <c r="O38" s="40">
        <f t="shared" si="7"/>
        <v>2.9881395754289657E-3</v>
      </c>
    </row>
    <row r="39" spans="2:17" ht="15.5" thickTop="1" thickBot="1" x14ac:dyDescent="0.4">
      <c r="B39" s="3" t="s">
        <v>75</v>
      </c>
      <c r="C39" s="37" t="str">
        <f>IFERROR(VLOOKUP(B39,GICS!$A:$B,2,0),0)</f>
        <v>Gentera SAB de CV</v>
      </c>
      <c r="D39" s="38">
        <v>25</v>
      </c>
      <c r="E39" s="65">
        <v>19.186742407935007</v>
      </c>
      <c r="F39" s="5">
        <v>44.2</v>
      </c>
      <c r="G39" s="6">
        <f t="shared" si="0"/>
        <v>2.6310050759940702E-2</v>
      </c>
      <c r="H39" s="5">
        <v>45.76</v>
      </c>
      <c r="I39" s="5">
        <v>45.01925</v>
      </c>
      <c r="J39" s="58">
        <f t="shared" si="4"/>
        <v>7.6035520361990905E-2</v>
      </c>
      <c r="K39" s="107">
        <f t="shared" si="1"/>
        <v>17</v>
      </c>
      <c r="L39" s="65">
        <f t="shared" si="2"/>
        <v>19.186742407935007</v>
      </c>
      <c r="M39" s="4">
        <f t="shared" si="5"/>
        <v>777.92</v>
      </c>
      <c r="N39" s="39">
        <f t="shared" si="3"/>
        <v>1.7242443716498763E-2</v>
      </c>
      <c r="O39" s="40">
        <f t="shared" si="7"/>
        <v>-9.0676070434419394E-3</v>
      </c>
    </row>
    <row r="40" spans="2:17" ht="15.5" thickTop="1" thickBot="1" x14ac:dyDescent="0.4">
      <c r="B40" s="3" t="s">
        <v>77</v>
      </c>
      <c r="C40" s="37" t="str">
        <f>IFERROR(VLOOKUP(B40,GICS!$A:$B,2,0),0)</f>
        <v>Grupo Comercial Chedraui SA de CV</v>
      </c>
      <c r="D40" s="38">
        <v>4</v>
      </c>
      <c r="E40" s="65">
        <v>111.59020233154301</v>
      </c>
      <c r="F40" s="5">
        <v>134.71</v>
      </c>
      <c r="G40" s="6">
        <f t="shared" si="0"/>
        <v>1.2829780770575972E-2</v>
      </c>
      <c r="H40" s="5">
        <v>102.29</v>
      </c>
      <c r="I40" s="5">
        <v>8.7984000000000009</v>
      </c>
      <c r="J40" s="58">
        <f t="shared" si="4"/>
        <v>-0.22433672333160115</v>
      </c>
      <c r="K40" s="107">
        <f t="shared" si="1"/>
        <v>5</v>
      </c>
      <c r="L40" s="65">
        <f t="shared" si="2"/>
        <v>109.73016186523441</v>
      </c>
      <c r="M40" s="4">
        <f t="shared" si="5"/>
        <v>511.45000000000005</v>
      </c>
      <c r="N40" s="39">
        <f t="shared" si="3"/>
        <v>1.1336188603973793E-2</v>
      </c>
      <c r="O40" s="40">
        <f t="shared" si="7"/>
        <v>-1.4935921666021784E-3</v>
      </c>
    </row>
    <row r="41" spans="2:17" ht="15.5" thickTop="1" thickBot="1" x14ac:dyDescent="0.4">
      <c r="B41" s="3" t="s">
        <v>121</v>
      </c>
      <c r="C41" s="37" t="str">
        <f>IFERROR(VLOOKUP(B41,GICS!$A:$B,2,0),0)</f>
        <v>La Comer, S.A.B. de C.V.</v>
      </c>
      <c r="D41" s="38">
        <v>29</v>
      </c>
      <c r="E41" s="65">
        <v>37.176552517241376</v>
      </c>
      <c r="F41" s="5">
        <v>40.229999999999997</v>
      </c>
      <c r="G41" s="6">
        <f t="shared" si="0"/>
        <v>2.7778413502352956E-2</v>
      </c>
      <c r="H41" s="5">
        <v>39.700000000000003</v>
      </c>
      <c r="I41" s="5">
        <v>8.0098000000000003</v>
      </c>
      <c r="J41" s="58">
        <f t="shared" si="4"/>
        <v>-6.3087248322145628E-3</v>
      </c>
      <c r="K41" s="107">
        <f t="shared" si="1"/>
        <v>22</v>
      </c>
      <c r="L41" s="65">
        <f>IF(K41&gt;0,IF(K41&gt;D41,(D41*E41+(K41-D41)*E89)/K41,E41),0)</f>
        <v>37.176552517241376</v>
      </c>
      <c r="M41" s="4">
        <f t="shared" si="5"/>
        <v>873.40000000000009</v>
      </c>
      <c r="N41" s="39">
        <f t="shared" si="3"/>
        <v>1.9358739127403872E-2</v>
      </c>
      <c r="O41" s="40">
        <f t="shared" si="7"/>
        <v>-8.4196743749490842E-3</v>
      </c>
    </row>
    <row r="42" spans="2:17" ht="15.5" thickTop="1" thickBot="1" x14ac:dyDescent="0.4">
      <c r="B42" s="3" t="s">
        <v>124</v>
      </c>
      <c r="C42" s="37" t="str">
        <f>IFERROR(VLOOKUP(B42,GICS!$A:$B,2,0),0)</f>
        <v>Controladora Vuela Compania de Aviacion SAB de CV</v>
      </c>
      <c r="D42" s="122">
        <v>0</v>
      </c>
      <c r="E42" s="65">
        <v>0</v>
      </c>
      <c r="F42" s="121">
        <v>0</v>
      </c>
      <c r="G42" s="6">
        <f t="shared" ref="G42:G45" si="8">D42*F42/$F$48</f>
        <v>0</v>
      </c>
      <c r="H42" s="5">
        <v>13.06</v>
      </c>
      <c r="I42" s="5">
        <v>0</v>
      </c>
      <c r="J42" s="58" t="e">
        <f t="shared" si="4"/>
        <v>#DIV/0!</v>
      </c>
      <c r="K42" s="107">
        <f t="shared" si="1"/>
        <v>144</v>
      </c>
      <c r="L42" s="65">
        <f>IF(K42&gt;0,IF(K42&gt;D42,(D42*E42+(K42-D42)*E90)/K42,E42),0)</f>
        <v>0</v>
      </c>
      <c r="M42" s="4">
        <f t="shared" ref="M42:M45" si="9">K42*H42</f>
        <v>1880.64</v>
      </c>
      <c r="N42" s="39">
        <f t="shared" ref="N42:N45" si="10">M42/$M$48</f>
        <v>4.1684015517014908E-2</v>
      </c>
      <c r="O42" s="40">
        <f t="shared" si="7"/>
        <v>4.1684015517014908E-2</v>
      </c>
    </row>
    <row r="43" spans="2:17" ht="15.5" thickTop="1" thickBot="1" x14ac:dyDescent="0.4">
      <c r="B43" s="3">
        <v>0</v>
      </c>
      <c r="C43" s="37">
        <f>IFERROR(VLOOKUP(B43,GICS!$A:$B,2,0),0)</f>
        <v>0</v>
      </c>
      <c r="D43" s="122">
        <v>0</v>
      </c>
      <c r="E43" s="121">
        <v>0</v>
      </c>
      <c r="F43" s="121">
        <v>0</v>
      </c>
      <c r="G43" s="6">
        <f t="shared" si="8"/>
        <v>0</v>
      </c>
      <c r="H43" s="123">
        <v>0</v>
      </c>
      <c r="I43" s="5">
        <v>0</v>
      </c>
      <c r="J43" s="58" t="e">
        <f t="shared" si="4"/>
        <v>#DIV/0!</v>
      </c>
      <c r="K43" s="107">
        <f t="shared" si="1"/>
        <v>0</v>
      </c>
      <c r="L43" s="65">
        <f>IF(K43&gt;0,IF(K43&gt;D43,(D43*E43+(K43-D43)*E91)/K43,E43),0)</f>
        <v>0</v>
      </c>
      <c r="M43" s="4">
        <f t="shared" si="9"/>
        <v>0</v>
      </c>
      <c r="N43" s="39">
        <f t="shared" si="10"/>
        <v>0</v>
      </c>
      <c r="O43" s="40">
        <f t="shared" si="7"/>
        <v>0</v>
      </c>
    </row>
    <row r="44" spans="2:17" ht="15.5" thickTop="1" thickBot="1" x14ac:dyDescent="0.4">
      <c r="B44" s="3">
        <v>0</v>
      </c>
      <c r="C44" s="37">
        <f>IFERROR(VLOOKUP(B44,GICS!$A:$B,2,0),0)</f>
        <v>0</v>
      </c>
      <c r="D44" s="122">
        <v>0</v>
      </c>
      <c r="E44" s="121">
        <v>0</v>
      </c>
      <c r="F44" s="121">
        <v>0</v>
      </c>
      <c r="G44" s="6">
        <f t="shared" si="8"/>
        <v>0</v>
      </c>
      <c r="H44" s="123">
        <v>0</v>
      </c>
      <c r="I44" s="5">
        <v>0</v>
      </c>
      <c r="J44" s="58" t="e">
        <f t="shared" si="4"/>
        <v>#DIV/0!</v>
      </c>
      <c r="K44" s="107">
        <f t="shared" si="1"/>
        <v>0</v>
      </c>
      <c r="L44" s="65">
        <f>IF(K44&gt;0,IF(K44&gt;D44,(D44*E44+(K44-D44)*E92)/K44,E44),0)</f>
        <v>0</v>
      </c>
      <c r="M44" s="4">
        <f t="shared" si="9"/>
        <v>0</v>
      </c>
      <c r="N44" s="39">
        <f t="shared" si="10"/>
        <v>0</v>
      </c>
      <c r="O44" s="40">
        <f t="shared" si="7"/>
        <v>0</v>
      </c>
    </row>
    <row r="45" spans="2:17" ht="15.5" thickTop="1" thickBot="1" x14ac:dyDescent="0.4">
      <c r="B45" s="3">
        <v>0</v>
      </c>
      <c r="C45" s="37">
        <f>IFERROR(VLOOKUP(B45,GICS!$A:$B,2,0),0)</f>
        <v>0</v>
      </c>
      <c r="D45" s="122">
        <v>0</v>
      </c>
      <c r="E45" s="121">
        <v>0</v>
      </c>
      <c r="F45" s="121">
        <v>0</v>
      </c>
      <c r="G45" s="6">
        <f t="shared" si="8"/>
        <v>0</v>
      </c>
      <c r="H45" s="123">
        <v>0</v>
      </c>
      <c r="I45" s="5">
        <v>0</v>
      </c>
      <c r="J45" s="58" t="e">
        <f t="shared" si="4"/>
        <v>#DIV/0!</v>
      </c>
      <c r="K45" s="107">
        <f t="shared" si="1"/>
        <v>0</v>
      </c>
      <c r="L45" s="65">
        <f>IF(K45&gt;0,IF(K45&gt;D45,(D45*E45+(K45-D45)*E93)/K45,E45),0)</f>
        <v>0</v>
      </c>
      <c r="M45" s="4">
        <f t="shared" si="9"/>
        <v>0</v>
      </c>
      <c r="N45" s="39">
        <f t="shared" si="10"/>
        <v>0</v>
      </c>
      <c r="O45" s="40">
        <f t="shared" si="7"/>
        <v>0</v>
      </c>
    </row>
    <row r="46" spans="2:17" ht="15.5" thickTop="1" thickBot="1" x14ac:dyDescent="0.4">
      <c r="B46" s="3" t="s">
        <v>7</v>
      </c>
      <c r="C46" s="37"/>
      <c r="D46" s="41">
        <v>793.37880369401682</v>
      </c>
      <c r="E46" s="61">
        <v>0</v>
      </c>
      <c r="F46" s="61">
        <v>0</v>
      </c>
      <c r="G46" s="60">
        <f>D46/$F$48</f>
        <v>1.8890349861584266E-2</v>
      </c>
      <c r="H46" s="42">
        <f>D46*(1+H2)^(180/360)</f>
        <v>793.37880369401682</v>
      </c>
      <c r="I46" s="59"/>
      <c r="J46" s="135">
        <f>H46/D46-1</f>
        <v>0</v>
      </c>
      <c r="K46" s="43">
        <f>H46+I48-SUMPRODUCT(D51:D89,E51:E89)</f>
        <v>429.25470313401684</v>
      </c>
      <c r="L46" s="57"/>
      <c r="M46" s="44">
        <f>K46</f>
        <v>429.25470313401684</v>
      </c>
      <c r="N46" s="39">
        <f>M46/$M$48</f>
        <v>9.5143460237950821E-3</v>
      </c>
      <c r="O46" s="40">
        <f>N46-G46</f>
        <v>-9.3760038377891843E-3</v>
      </c>
    </row>
    <row r="47" spans="2:17" ht="15.5" thickTop="1" thickBot="1" x14ac:dyDescent="0.4">
      <c r="B47" s="21"/>
      <c r="C47" s="21"/>
      <c r="D47" s="46"/>
      <c r="E47" s="46"/>
      <c r="F47" s="47"/>
      <c r="G47" s="47"/>
      <c r="H47" s="48"/>
      <c r="I47" s="48"/>
      <c r="J47" s="48"/>
      <c r="K47" s="46"/>
      <c r="L47" s="46"/>
      <c r="M47" s="47"/>
      <c r="N47" s="48"/>
      <c r="O47" s="23"/>
    </row>
    <row r="48" spans="2:17" ht="15.5" thickTop="1" thickBot="1" x14ac:dyDescent="0.4">
      <c r="B48" s="10" t="s">
        <v>10</v>
      </c>
      <c r="C48" s="10"/>
      <c r="D48" s="10"/>
      <c r="E48" s="50"/>
      <c r="F48" s="11">
        <f>SUMPRODUCT(D7:D41,F7:F41)+D46</f>
        <v>41999.158803694016</v>
      </c>
      <c r="G48" s="12">
        <f>SUM(G7:G46)</f>
        <v>1.0000000000000004</v>
      </c>
      <c r="H48" s="50">
        <f>SUMPRODUCT(D7:D41,H7:H41)+H46</f>
        <v>44497.608803694027</v>
      </c>
      <c r="I48" s="50">
        <f>SUM(I7:I46)</f>
        <v>618.96589944000004</v>
      </c>
      <c r="J48" s="14">
        <f>(H48+I48)/F48-1</f>
        <v>7.4225674709604395E-2</v>
      </c>
      <c r="K48" s="106" t="s">
        <v>119</v>
      </c>
      <c r="L48" s="49"/>
      <c r="M48" s="50">
        <f>SUM(M7:M46)</f>
        <v>45116.574703134007</v>
      </c>
      <c r="N48" s="49">
        <f>SUM(N7:N46)</f>
        <v>1.0000000000000002</v>
      </c>
      <c r="O48" s="49">
        <f>SUMIF(O7:O46,"&gt;0",O7:O46)</f>
        <v>0.1506244329272895</v>
      </c>
    </row>
    <row r="49" spans="2:15" ht="15.5" thickTop="1" thickBot="1" x14ac:dyDescent="0.4">
      <c r="B49" s="51"/>
      <c r="C49" s="51"/>
      <c r="D49" s="51"/>
      <c r="E49" s="51"/>
      <c r="F49" s="52"/>
      <c r="G49" s="52"/>
      <c r="H49" s="53"/>
      <c r="I49" s="105"/>
      <c r="J49" s="14">
        <f>LN((H48+I48)/F48)</f>
        <v>7.1600099441354315E-2</v>
      </c>
      <c r="K49" s="23" t="s">
        <v>118</v>
      </c>
      <c r="L49" s="53"/>
      <c r="M49" s="54"/>
      <c r="N49" s="53"/>
      <c r="O49" s="21"/>
    </row>
    <row r="50" spans="2:15" ht="15.5" thickTop="1" thickBot="1" x14ac:dyDescent="0.4">
      <c r="B50" s="55" t="str">
        <f>CONCATENATE("Movimientos ",TEXT(D2,"dd-mm-yyyy")," (precios MXN cierre):")</f>
        <v>Movimientos 30-04-2026 (precios MXN cierre):</v>
      </c>
      <c r="C50" s="21"/>
      <c r="D50" s="67" t="s">
        <v>26</v>
      </c>
      <c r="E50" s="68" t="s">
        <v>25</v>
      </c>
      <c r="H50" s="21"/>
      <c r="I50" s="21"/>
      <c r="J50" s="21"/>
      <c r="K50" s="21"/>
      <c r="L50" s="21"/>
      <c r="M50" s="21"/>
      <c r="N50" s="21"/>
      <c r="O50" s="21"/>
    </row>
    <row r="51" spans="2:15" ht="15.5" thickTop="1" thickBot="1" x14ac:dyDescent="0.4">
      <c r="B51" s="3" t="str">
        <f>B7</f>
        <v>GAPB</v>
      </c>
      <c r="C51" s="3" t="str">
        <f>C7</f>
        <v>Grupo Aeroportuario del Pacifico, S.A.B. de C.V.</v>
      </c>
      <c r="D51" s="69">
        <v>0</v>
      </c>
      <c r="E51" s="5">
        <f t="shared" ref="E51:E85" si="11">H7</f>
        <v>438.21</v>
      </c>
      <c r="H51" s="21"/>
      <c r="I51" s="70"/>
      <c r="J51" s="21"/>
      <c r="K51" s="21"/>
      <c r="L51" s="21"/>
      <c r="M51" s="21"/>
      <c r="N51" s="155"/>
      <c r="O51" s="155"/>
    </row>
    <row r="52" spans="2:15" ht="15.5" thickTop="1" thickBot="1" x14ac:dyDescent="0.4">
      <c r="B52" s="3" t="str">
        <f t="shared" ref="B52:C52" si="12">B8</f>
        <v>SIGMAFA</v>
      </c>
      <c r="C52" s="3" t="str">
        <f t="shared" si="12"/>
        <v>Sigma Foods SAB de CV</v>
      </c>
      <c r="D52" s="69">
        <v>-19</v>
      </c>
      <c r="E52" s="5">
        <f t="shared" si="11"/>
        <v>16.55</v>
      </c>
      <c r="H52" s="21"/>
      <c r="I52" s="70"/>
      <c r="J52" s="21"/>
      <c r="K52" s="21"/>
      <c r="L52" s="21"/>
      <c r="M52" s="21"/>
      <c r="N52" s="21"/>
      <c r="O52" s="21"/>
    </row>
    <row r="53" spans="2:15" ht="15.5" thickTop="1" thickBot="1" x14ac:dyDescent="0.4">
      <c r="B53" s="3" t="str">
        <f t="shared" ref="B53:C53" si="13">B9</f>
        <v>WALMEX</v>
      </c>
      <c r="C53" s="3" t="str">
        <f t="shared" si="13"/>
        <v>Walmart de Mexico SAB de CV</v>
      </c>
      <c r="D53" s="69">
        <v>-4</v>
      </c>
      <c r="E53" s="5">
        <f t="shared" si="11"/>
        <v>55.07</v>
      </c>
      <c r="H53" s="21"/>
      <c r="I53" s="70"/>
      <c r="J53" s="21"/>
      <c r="K53" s="21"/>
      <c r="L53" s="21"/>
      <c r="M53" s="21"/>
      <c r="N53" s="21"/>
      <c r="O53" s="21"/>
    </row>
    <row r="54" spans="2:15" ht="15.5" thickTop="1" thickBot="1" x14ac:dyDescent="0.4">
      <c r="B54" s="3" t="str">
        <f t="shared" ref="B54:C54" si="14">B10</f>
        <v>ORBIA</v>
      </c>
      <c r="C54" s="3" t="str">
        <f t="shared" si="14"/>
        <v>ORBIA ADVANCE CORPORATION SAB de CV</v>
      </c>
      <c r="D54" s="69">
        <v>-8</v>
      </c>
      <c r="E54" s="5">
        <f t="shared" si="11"/>
        <v>20.91</v>
      </c>
      <c r="H54" s="21"/>
      <c r="I54" s="70"/>
      <c r="J54" s="21"/>
      <c r="K54" s="21"/>
      <c r="L54" s="21"/>
      <c r="M54" s="21"/>
      <c r="N54" s="21"/>
      <c r="O54" s="21"/>
    </row>
    <row r="55" spans="2:15" ht="15.5" thickTop="1" thickBot="1" x14ac:dyDescent="0.4">
      <c r="B55" s="3" t="str">
        <f t="shared" ref="B55:C55" si="15">B11</f>
        <v>OMAB</v>
      </c>
      <c r="C55" s="3" t="str">
        <f t="shared" si="15"/>
        <v>Grupo Aeroportuario del Centro Norte, S.A.B. de C.V.</v>
      </c>
      <c r="D55" s="69">
        <v>4</v>
      </c>
      <c r="E55" s="5">
        <f t="shared" si="11"/>
        <v>231.83</v>
      </c>
      <c r="H55" s="21"/>
      <c r="I55" s="70"/>
      <c r="J55" s="21"/>
      <c r="K55" s="21"/>
      <c r="L55" s="21"/>
      <c r="M55" s="21"/>
      <c r="N55" s="21"/>
      <c r="O55" s="21"/>
    </row>
    <row r="56" spans="2:15" ht="15.5" thickTop="1" thickBot="1" x14ac:dyDescent="0.4">
      <c r="B56" s="3" t="str">
        <f t="shared" ref="B56:C56" si="16">B12</f>
        <v>TLEVISACPO</v>
      </c>
      <c r="C56" s="3" t="str">
        <f t="shared" si="16"/>
        <v>Grupo Televisa SAB CPO</v>
      </c>
      <c r="D56" s="69">
        <v>-55</v>
      </c>
      <c r="E56" s="5">
        <f t="shared" si="11"/>
        <v>9.9600000000000009</v>
      </c>
      <c r="H56" s="21"/>
      <c r="I56" s="70"/>
      <c r="J56" s="21"/>
      <c r="K56" s="21"/>
      <c r="L56" s="21"/>
      <c r="M56" s="21"/>
      <c r="N56" s="21"/>
      <c r="O56" s="21"/>
    </row>
    <row r="57" spans="2:15" ht="15.5" thickTop="1" thickBot="1" x14ac:dyDescent="0.4">
      <c r="B57" s="3" t="str">
        <f t="shared" ref="B57:C57" si="17">B13</f>
        <v>CEMEXCPO</v>
      </c>
      <c r="C57" s="3" t="str">
        <f t="shared" si="17"/>
        <v>Cemex SA CPO</v>
      </c>
      <c r="D57" s="69">
        <v>11</v>
      </c>
      <c r="E57" s="5">
        <f t="shared" si="11"/>
        <v>21.45</v>
      </c>
      <c r="H57" s="21"/>
      <c r="I57" s="70"/>
      <c r="J57" s="21"/>
      <c r="K57" s="21"/>
      <c r="L57" s="21"/>
      <c r="M57" s="21"/>
      <c r="N57" s="21"/>
      <c r="O57" s="21"/>
    </row>
    <row r="58" spans="2:15" ht="15.5" thickTop="1" thickBot="1" x14ac:dyDescent="0.4">
      <c r="B58" s="3" t="str">
        <f t="shared" ref="B58:C58" si="18">B14</f>
        <v>PINFRA</v>
      </c>
      <c r="C58" s="3" t="str">
        <f t="shared" si="18"/>
        <v>Promotora y Operadora de Infraestructura SAB de CV</v>
      </c>
      <c r="D58" s="69">
        <v>1</v>
      </c>
      <c r="E58" s="5">
        <f t="shared" si="11"/>
        <v>276.60000000000002</v>
      </c>
      <c r="H58" s="21"/>
      <c r="I58" s="70"/>
      <c r="J58" s="21"/>
      <c r="K58" s="21"/>
      <c r="L58" s="21"/>
      <c r="M58" s="21"/>
      <c r="N58" s="21"/>
      <c r="O58" s="21"/>
    </row>
    <row r="59" spans="2:15" ht="15.5" thickTop="1" thickBot="1" x14ac:dyDescent="0.4">
      <c r="B59" s="3" t="str">
        <f t="shared" ref="B59:C59" si="19">B15</f>
        <v>GMEXICOB</v>
      </c>
      <c r="C59" s="3" t="str">
        <f t="shared" si="19"/>
        <v>Grupo Mexico SAB de CV B</v>
      </c>
      <c r="D59" s="69">
        <v>6</v>
      </c>
      <c r="E59" s="5">
        <f t="shared" si="11"/>
        <v>191.2</v>
      </c>
      <c r="H59" s="21"/>
      <c r="I59" s="70"/>
      <c r="J59" s="21"/>
      <c r="K59" s="21"/>
      <c r="L59" s="21"/>
      <c r="M59" s="21"/>
      <c r="N59" s="21"/>
      <c r="O59" s="21"/>
    </row>
    <row r="60" spans="2:15" ht="15.5" thickTop="1" thickBot="1" x14ac:dyDescent="0.4">
      <c r="B60" s="3" t="str">
        <f t="shared" ref="B60:C60" si="20">B16</f>
        <v>AC</v>
      </c>
      <c r="C60" s="3" t="str">
        <f t="shared" si="20"/>
        <v>Arca Continental, SAB de CV</v>
      </c>
      <c r="D60" s="69">
        <v>0</v>
      </c>
      <c r="E60" s="5">
        <f t="shared" si="11"/>
        <v>209.87</v>
      </c>
      <c r="H60" s="21"/>
      <c r="I60" s="70"/>
      <c r="J60" s="21"/>
      <c r="K60" s="21"/>
      <c r="L60" s="21"/>
      <c r="M60" s="21"/>
      <c r="N60" s="21"/>
      <c r="O60" s="21"/>
    </row>
    <row r="61" spans="2:15" ht="15.5" thickTop="1" thickBot="1" x14ac:dyDescent="0.4">
      <c r="B61" s="3" t="str">
        <f t="shared" ref="B61:C61" si="21">B17</f>
        <v>FEMSAUBD</v>
      </c>
      <c r="C61" s="3" t="str">
        <f t="shared" si="21"/>
        <v>Fomento Economico Mexicano S.A.B. de C.V.</v>
      </c>
      <c r="D61" s="69">
        <v>-2</v>
      </c>
      <c r="E61" s="5">
        <f t="shared" si="11"/>
        <v>206.45</v>
      </c>
      <c r="H61" s="21"/>
      <c r="I61" s="70"/>
      <c r="J61" s="21"/>
      <c r="K61" s="21"/>
      <c r="L61" s="21"/>
      <c r="M61" s="21"/>
      <c r="N61" s="21"/>
      <c r="O61" s="21"/>
    </row>
    <row r="62" spans="2:15" ht="15.5" thickTop="1" thickBot="1" x14ac:dyDescent="0.4">
      <c r="B62" s="3" t="str">
        <f t="shared" ref="B62:C62" si="22">B18</f>
        <v>AMXB</v>
      </c>
      <c r="C62" s="3" t="str">
        <f t="shared" si="22"/>
        <v>America Movil SAB de CV B</v>
      </c>
      <c r="D62" s="69">
        <v>-1</v>
      </c>
      <c r="E62" s="5">
        <f t="shared" si="11"/>
        <v>23.21</v>
      </c>
      <c r="H62" s="21"/>
      <c r="I62" s="70"/>
      <c r="J62" s="21"/>
      <c r="K62" s="21"/>
      <c r="L62" s="21"/>
      <c r="M62" s="21"/>
      <c r="N62" s="21"/>
      <c r="O62" s="21"/>
    </row>
    <row r="63" spans="2:15" ht="15.5" thickTop="1" thickBot="1" x14ac:dyDescent="0.4">
      <c r="B63" s="3" t="str">
        <f t="shared" ref="B63:C63" si="23">B19</f>
        <v>KOFUBL</v>
      </c>
      <c r="C63" s="3" t="str">
        <f t="shared" si="23"/>
        <v>Coca-Cola Femsa SAB de CV UBL</v>
      </c>
      <c r="D63" s="69">
        <v>1</v>
      </c>
      <c r="E63" s="5">
        <f t="shared" si="11"/>
        <v>176.96</v>
      </c>
      <c r="H63" s="21"/>
      <c r="I63" s="70"/>
      <c r="J63" s="21"/>
      <c r="K63" s="21"/>
      <c r="L63" s="21"/>
      <c r="M63" s="21"/>
      <c r="N63" s="21"/>
      <c r="O63" s="21"/>
    </row>
    <row r="64" spans="2:15" ht="15.5" thickTop="1" thickBot="1" x14ac:dyDescent="0.4">
      <c r="B64" s="3" t="str">
        <f t="shared" ref="B64:C64" si="24">B20</f>
        <v>ALSEA</v>
      </c>
      <c r="C64" s="3" t="str">
        <f t="shared" si="24"/>
        <v>Alsea SA</v>
      </c>
      <c r="D64" s="69">
        <v>-6</v>
      </c>
      <c r="E64" s="5">
        <f t="shared" si="11"/>
        <v>51.42</v>
      </c>
      <c r="H64" s="21"/>
      <c r="I64" s="70"/>
      <c r="J64" s="21"/>
      <c r="K64" s="21"/>
      <c r="L64" s="21"/>
      <c r="M64" s="21"/>
      <c r="N64" s="21"/>
      <c r="O64" s="21"/>
    </row>
    <row r="65" spans="2:15" ht="15.5" thickTop="1" thickBot="1" x14ac:dyDescent="0.4">
      <c r="B65" s="3" t="str">
        <f t="shared" ref="B65:C65" si="25">B21</f>
        <v>GRUMAB</v>
      </c>
      <c r="C65" s="3" t="str">
        <f t="shared" si="25"/>
        <v>Gruma SAB B</v>
      </c>
      <c r="D65" s="69">
        <v>1</v>
      </c>
      <c r="E65" s="5">
        <f t="shared" si="11"/>
        <v>303.16000000000003</v>
      </c>
      <c r="H65" s="21"/>
      <c r="I65" s="70"/>
      <c r="J65" s="21"/>
      <c r="K65" s="21"/>
      <c r="L65" s="21"/>
      <c r="M65" s="21"/>
      <c r="N65" s="21"/>
      <c r="O65" s="21"/>
    </row>
    <row r="66" spans="2:15" ht="15.5" thickTop="1" thickBot="1" x14ac:dyDescent="0.4">
      <c r="B66" s="3" t="str">
        <f t="shared" ref="B66:C66" si="26">B22</f>
        <v>ASURB</v>
      </c>
      <c r="C66" s="3" t="str">
        <f t="shared" si="26"/>
        <v>Grupo Aeroportuario del Sureste SAB de CV B</v>
      </c>
      <c r="D66" s="69">
        <v>0</v>
      </c>
      <c r="E66" s="5">
        <f t="shared" si="11"/>
        <v>532.34</v>
      </c>
      <c r="H66" s="21"/>
      <c r="I66" s="70"/>
      <c r="J66" s="21"/>
      <c r="K66" s="21"/>
      <c r="L66" s="21"/>
      <c r="M66" s="21"/>
      <c r="N66" s="21"/>
      <c r="O66" s="21"/>
    </row>
    <row r="67" spans="2:15" ht="15.5" thickTop="1" thickBot="1" x14ac:dyDescent="0.4">
      <c r="B67" s="3" t="str">
        <f t="shared" ref="B67:C67" si="27">B23</f>
        <v>BIMBOA</v>
      </c>
      <c r="C67" s="3" t="str">
        <f t="shared" si="27"/>
        <v>Grupo Bimbo S.A.B.</v>
      </c>
      <c r="D67" s="69">
        <v>3</v>
      </c>
      <c r="E67" s="5">
        <f t="shared" si="11"/>
        <v>59.48</v>
      </c>
      <c r="H67" s="21"/>
      <c r="I67" s="70"/>
      <c r="J67" s="21"/>
      <c r="K67" s="21"/>
      <c r="L67" s="21"/>
      <c r="M67" s="21"/>
      <c r="N67" s="21"/>
      <c r="O67" s="21"/>
    </row>
    <row r="68" spans="2:15" ht="15.5" thickTop="1" thickBot="1" x14ac:dyDescent="0.4">
      <c r="B68" s="3" t="str">
        <f t="shared" ref="B68:C68" si="28">B24</f>
        <v>PE&amp;OLES</v>
      </c>
      <c r="C68" s="3" t="str">
        <f t="shared" si="28"/>
        <v>Industrias Penoles</v>
      </c>
      <c r="D68" s="69">
        <v>0</v>
      </c>
      <c r="E68" s="5">
        <f t="shared" si="11"/>
        <v>880.7</v>
      </c>
      <c r="H68" s="21"/>
      <c r="I68" s="70"/>
      <c r="J68" s="21"/>
      <c r="K68" s="21"/>
      <c r="L68" s="21"/>
      <c r="M68" s="21"/>
      <c r="N68" s="21"/>
      <c r="O68" s="21"/>
    </row>
    <row r="69" spans="2:15" ht="15.5" thickTop="1" thickBot="1" x14ac:dyDescent="0.4">
      <c r="B69" s="3" t="str">
        <f t="shared" ref="B69:C69" si="29">B25</f>
        <v>BBAJIOO</v>
      </c>
      <c r="C69" s="3" t="str">
        <f t="shared" si="29"/>
        <v>Banco del Bajio, S.A.</v>
      </c>
      <c r="D69" s="69">
        <v>-12</v>
      </c>
      <c r="E69" s="5">
        <f t="shared" si="11"/>
        <v>54.68</v>
      </c>
      <c r="H69" s="21"/>
      <c r="I69" s="70"/>
      <c r="J69" s="21"/>
      <c r="K69" s="21"/>
      <c r="L69" s="21"/>
      <c r="M69" s="21"/>
      <c r="N69" s="21"/>
      <c r="O69" s="21"/>
    </row>
    <row r="70" spans="2:15" ht="15.5" thickTop="1" thickBot="1" x14ac:dyDescent="0.4">
      <c r="B70" s="3" t="str">
        <f t="shared" ref="B70:C70" si="30">B26</f>
        <v>CUERVO</v>
      </c>
      <c r="C70" s="3" t="str">
        <f t="shared" si="30"/>
        <v>Becle, S.A. De C.V.</v>
      </c>
      <c r="D70" s="69">
        <v>-40</v>
      </c>
      <c r="E70" s="5">
        <f t="shared" si="11"/>
        <v>14.07</v>
      </c>
      <c r="H70" s="21"/>
      <c r="I70" s="70"/>
      <c r="J70" s="21"/>
      <c r="K70" s="21"/>
      <c r="L70" s="21"/>
      <c r="M70" s="21"/>
      <c r="N70" s="21"/>
      <c r="O70" s="21"/>
    </row>
    <row r="71" spans="2:15" ht="15.5" thickTop="1" thickBot="1" x14ac:dyDescent="0.4">
      <c r="B71" s="3" t="str">
        <f t="shared" ref="B71:C71" si="31">B27</f>
        <v>BOLSAA</v>
      </c>
      <c r="C71" s="3" t="str">
        <f t="shared" si="31"/>
        <v>Bolsa Mexicana de Valores SA de CV</v>
      </c>
      <c r="D71" s="69">
        <v>5</v>
      </c>
      <c r="E71" s="5">
        <f t="shared" si="11"/>
        <v>39.35</v>
      </c>
      <c r="H71" s="21"/>
      <c r="I71" s="70"/>
      <c r="J71" s="21"/>
      <c r="K71" s="21"/>
      <c r="L71" s="21"/>
      <c r="M71" s="21"/>
      <c r="N71" s="21"/>
      <c r="O71" s="21"/>
    </row>
    <row r="72" spans="2:15" ht="15.5" thickTop="1" thickBot="1" x14ac:dyDescent="0.4">
      <c r="B72" s="3" t="str">
        <f t="shared" ref="B72:C72" si="32">B28</f>
        <v>VESTA</v>
      </c>
      <c r="C72" s="3" t="str">
        <f t="shared" si="32"/>
        <v>Corporacion Inmobiliaria Vesta, S.A.B. DE C.V.</v>
      </c>
      <c r="D72" s="69">
        <v>2</v>
      </c>
      <c r="E72" s="5">
        <f t="shared" si="11"/>
        <v>62.18</v>
      </c>
      <c r="H72" s="21"/>
      <c r="I72" s="70"/>
      <c r="J72" s="21"/>
      <c r="K72" s="21"/>
      <c r="L72" s="21"/>
      <c r="M72" s="21"/>
      <c r="N72" s="21"/>
      <c r="O72" s="21"/>
    </row>
    <row r="73" spans="2:15" ht="15.5" thickTop="1" thickBot="1" x14ac:dyDescent="0.4">
      <c r="B73" s="3" t="str">
        <f t="shared" ref="B73:C73" si="33">B29</f>
        <v>LIVEPOLC-1</v>
      </c>
      <c r="C73" s="3" t="str">
        <f t="shared" si="33"/>
        <v>El Puerto de Liverpool SAB de CV</v>
      </c>
      <c r="D73" s="69">
        <v>0</v>
      </c>
      <c r="E73" s="5">
        <f t="shared" si="11"/>
        <v>103.44</v>
      </c>
      <c r="H73" s="21"/>
      <c r="I73" s="70"/>
      <c r="J73" s="21"/>
      <c r="K73" s="21"/>
      <c r="L73" s="21"/>
      <c r="M73" s="21"/>
      <c r="N73" s="21"/>
      <c r="O73" s="21"/>
    </row>
    <row r="74" spans="2:15" ht="15.5" thickTop="1" thickBot="1" x14ac:dyDescent="0.4">
      <c r="B74" s="3" t="str">
        <f t="shared" ref="B74:C74" si="34">B30</f>
        <v>LABB</v>
      </c>
      <c r="C74" s="3" t="str">
        <f t="shared" si="34"/>
        <v>Genomma Lab Internacional SA de CV</v>
      </c>
      <c r="D74" s="69">
        <v>-10</v>
      </c>
      <c r="E74" s="5">
        <f t="shared" si="11"/>
        <v>16.48</v>
      </c>
      <c r="H74" s="21"/>
      <c r="I74" s="70"/>
      <c r="J74" s="21"/>
      <c r="K74" s="21"/>
      <c r="L74" s="21"/>
      <c r="M74" s="21"/>
      <c r="N74" s="21"/>
      <c r="O74" s="21"/>
    </row>
    <row r="75" spans="2:15" ht="15.5" thickTop="1" thickBot="1" x14ac:dyDescent="0.4">
      <c r="B75" s="3" t="str">
        <f t="shared" ref="B75:C75" si="35">B31</f>
        <v>GCARSOA1</v>
      </c>
      <c r="C75" s="3" t="str">
        <f t="shared" si="35"/>
        <v>Grupo Carso SAB de CV</v>
      </c>
      <c r="D75" s="69">
        <v>4</v>
      </c>
      <c r="E75" s="5">
        <f t="shared" si="11"/>
        <v>132.81</v>
      </c>
      <c r="H75" s="21"/>
      <c r="I75" s="70"/>
      <c r="J75" s="21"/>
      <c r="K75" s="21"/>
      <c r="L75" s="21"/>
      <c r="M75" s="21"/>
      <c r="N75" s="21"/>
      <c r="O75" s="21"/>
    </row>
    <row r="76" spans="2:15" ht="15.5" thickTop="1" thickBot="1" x14ac:dyDescent="0.4">
      <c r="B76" s="3" t="str">
        <f t="shared" ref="B76:C76" si="36">B32</f>
        <v>GCC</v>
      </c>
      <c r="C76" s="3" t="str">
        <f t="shared" si="36"/>
        <v>Grupo Cementos de Chihuahua SAB de CV</v>
      </c>
      <c r="D76" s="69">
        <v>-1</v>
      </c>
      <c r="E76" s="5">
        <f t="shared" si="11"/>
        <v>206.4</v>
      </c>
      <c r="H76" s="21"/>
      <c r="I76" s="70"/>
      <c r="J76" s="21"/>
      <c r="K76" s="21"/>
      <c r="L76" s="21"/>
      <c r="M76" s="21"/>
      <c r="N76" s="21"/>
      <c r="O76" s="21"/>
    </row>
    <row r="77" spans="2:15" ht="15.5" thickTop="1" thickBot="1" x14ac:dyDescent="0.4">
      <c r="B77" s="3" t="str">
        <f t="shared" ref="B77:C77" si="37">B33</f>
        <v>GFNORTEO</v>
      </c>
      <c r="C77" s="3" t="str">
        <f t="shared" si="37"/>
        <v>Grupo Financiero Banorte O</v>
      </c>
      <c r="D77" s="69">
        <v>-1</v>
      </c>
      <c r="E77" s="5">
        <f t="shared" si="11"/>
        <v>189.68</v>
      </c>
      <c r="H77" s="21"/>
      <c r="I77" s="70"/>
      <c r="J77" s="21"/>
      <c r="K77" s="21"/>
      <c r="L77" s="21"/>
      <c r="M77" s="21"/>
      <c r="N77" s="21"/>
      <c r="O77" s="21"/>
    </row>
    <row r="78" spans="2:15" ht="15.5" thickTop="1" thickBot="1" x14ac:dyDescent="0.4">
      <c r="B78" s="3" t="str">
        <f t="shared" ref="B78:C78" si="38">B34</f>
        <v>GFINBURO</v>
      </c>
      <c r="C78" s="3" t="str">
        <f t="shared" si="38"/>
        <v>Grupo Financiero Inbursa O</v>
      </c>
      <c r="D78" s="69">
        <v>9</v>
      </c>
      <c r="E78" s="5">
        <f t="shared" si="11"/>
        <v>43</v>
      </c>
      <c r="H78" s="21"/>
      <c r="I78" s="70"/>
      <c r="J78" s="21"/>
      <c r="K78" s="21"/>
      <c r="L78" s="21"/>
      <c r="M78" s="21"/>
      <c r="N78" s="21"/>
      <c r="O78" s="21"/>
    </row>
    <row r="79" spans="2:15" ht="15.5" thickTop="1" thickBot="1" x14ac:dyDescent="0.4">
      <c r="B79" s="3" t="str">
        <f t="shared" ref="B79:C79" si="39">B35</f>
        <v>KIMBERA</v>
      </c>
      <c r="C79" s="3" t="str">
        <f t="shared" si="39"/>
        <v>Kimberly Clark de Mexico S.A.B. de C.V. A</v>
      </c>
      <c r="D79" s="69">
        <v>0</v>
      </c>
      <c r="E79" s="5">
        <f t="shared" si="11"/>
        <v>39.5</v>
      </c>
      <c r="H79" s="21"/>
      <c r="I79" s="70"/>
      <c r="J79" s="21"/>
      <c r="K79" s="21"/>
      <c r="L79" s="21"/>
      <c r="M79" s="21"/>
      <c r="N79" s="21"/>
      <c r="O79" s="21"/>
    </row>
    <row r="80" spans="2:15" ht="15.5" thickTop="1" thickBot="1" x14ac:dyDescent="0.4">
      <c r="B80" s="3" t="str">
        <f t="shared" ref="B80:C80" si="40">B36</f>
        <v>MEGACPO</v>
      </c>
      <c r="C80" s="3" t="str">
        <f t="shared" si="40"/>
        <v>Megacable Holdings SAB de CV</v>
      </c>
      <c r="D80" s="69">
        <v>-17</v>
      </c>
      <c r="E80" s="5">
        <f t="shared" si="11"/>
        <v>61.15</v>
      </c>
      <c r="H80" s="21"/>
      <c r="I80" s="70"/>
      <c r="J80" s="21"/>
      <c r="K80" s="21"/>
      <c r="L80" s="21"/>
      <c r="M80" s="21"/>
      <c r="N80" s="21"/>
      <c r="O80" s="21"/>
    </row>
    <row r="81" spans="2:15" ht="15.5" thickTop="1" thickBot="1" x14ac:dyDescent="0.4">
      <c r="B81" s="3" t="str">
        <f t="shared" ref="B81:C81" si="41">B37</f>
        <v>Q</v>
      </c>
      <c r="C81" s="3" t="str">
        <f t="shared" si="41"/>
        <v>Qualitas Controladora S.A.B de C.V.</v>
      </c>
      <c r="D81" s="69">
        <v>-1</v>
      </c>
      <c r="E81" s="5">
        <f t="shared" si="11"/>
        <v>174.21</v>
      </c>
      <c r="H81" s="21"/>
      <c r="I81" s="70"/>
      <c r="J81" s="21"/>
      <c r="K81" s="21"/>
      <c r="L81" s="21"/>
      <c r="M81" s="21"/>
      <c r="N81" s="21"/>
      <c r="O81" s="21"/>
    </row>
    <row r="82" spans="2:15" ht="15.5" thickTop="1" thickBot="1" x14ac:dyDescent="0.4">
      <c r="B82" s="3" t="str">
        <f t="shared" ref="B82:C82" si="42">B38</f>
        <v>RA</v>
      </c>
      <c r="C82" s="3" t="str">
        <f t="shared" si="42"/>
        <v>Regional, S.A. de C.V.</v>
      </c>
      <c r="D82" s="69">
        <v>1</v>
      </c>
      <c r="E82" s="5">
        <f t="shared" si="11"/>
        <v>147.19999999999999</v>
      </c>
      <c r="H82" s="21"/>
      <c r="I82" s="70"/>
      <c r="J82" s="21"/>
      <c r="K82" s="21"/>
      <c r="L82" s="21"/>
      <c r="M82" s="21"/>
      <c r="N82" s="21"/>
      <c r="O82" s="21"/>
    </row>
    <row r="83" spans="2:15" ht="15.5" thickTop="1" thickBot="1" x14ac:dyDescent="0.4">
      <c r="B83" s="3" t="str">
        <f t="shared" ref="B83:C83" si="43">B39</f>
        <v>GENTERA</v>
      </c>
      <c r="C83" s="3" t="str">
        <f t="shared" si="43"/>
        <v>Gentera SAB de CV</v>
      </c>
      <c r="D83" s="69">
        <v>-8</v>
      </c>
      <c r="E83" s="5">
        <f t="shared" si="11"/>
        <v>45.76</v>
      </c>
      <c r="H83" s="21"/>
      <c r="I83" s="70"/>
      <c r="J83" s="21"/>
      <c r="K83" s="21"/>
      <c r="L83" s="21"/>
      <c r="M83" s="21"/>
      <c r="N83" s="21"/>
      <c r="O83" s="21"/>
    </row>
    <row r="84" spans="2:15" ht="15.5" thickTop="1" thickBot="1" x14ac:dyDescent="0.4">
      <c r="B84" s="3" t="str">
        <f t="shared" ref="B84:C84" si="44">B40</f>
        <v>CHDRAUIB</v>
      </c>
      <c r="C84" s="3" t="str">
        <f t="shared" si="44"/>
        <v>Grupo Comercial Chedraui SA de CV</v>
      </c>
      <c r="D84" s="69">
        <v>1</v>
      </c>
      <c r="E84" s="5">
        <f t="shared" si="11"/>
        <v>102.29</v>
      </c>
    </row>
    <row r="85" spans="2:15" ht="15.5" thickTop="1" thickBot="1" x14ac:dyDescent="0.4">
      <c r="B85" s="3" t="str">
        <f t="shared" ref="B85:C85" si="45">B41</f>
        <v>LACOMERUBC</v>
      </c>
      <c r="C85" s="3" t="str">
        <f t="shared" si="45"/>
        <v>La Comer, S.A.B. de C.V.</v>
      </c>
      <c r="D85" s="69">
        <v>-7</v>
      </c>
      <c r="E85" s="5">
        <f t="shared" si="11"/>
        <v>39.700000000000003</v>
      </c>
    </row>
    <row r="86" spans="2:15" ht="15.5" thickTop="1" thickBot="1" x14ac:dyDescent="0.4">
      <c r="B86" s="3" t="str">
        <f t="shared" ref="B86:C86" si="46">B42</f>
        <v>VOLARA</v>
      </c>
      <c r="C86" s="3" t="str">
        <f t="shared" si="46"/>
        <v>Controladora Vuela Compania de Aviacion SAB de CV</v>
      </c>
      <c r="D86" s="69">
        <v>144</v>
      </c>
      <c r="E86" s="5">
        <f t="shared" ref="E86:E89" si="47">H42</f>
        <v>13.06</v>
      </c>
    </row>
    <row r="87" spans="2:15" ht="15.5" thickTop="1" thickBot="1" x14ac:dyDescent="0.4">
      <c r="B87" s="3">
        <f t="shared" ref="B87:C87" si="48">B43</f>
        <v>0</v>
      </c>
      <c r="C87" s="3">
        <f t="shared" si="48"/>
        <v>0</v>
      </c>
      <c r="D87" s="69">
        <v>0</v>
      </c>
      <c r="E87" s="5">
        <f t="shared" si="47"/>
        <v>0</v>
      </c>
    </row>
    <row r="88" spans="2:15" ht="15.5" thickTop="1" thickBot="1" x14ac:dyDescent="0.4">
      <c r="B88" s="3">
        <f t="shared" ref="B88:C88" si="49">B44</f>
        <v>0</v>
      </c>
      <c r="C88" s="3">
        <f t="shared" si="49"/>
        <v>0</v>
      </c>
      <c r="D88" s="69">
        <v>0</v>
      </c>
      <c r="E88" s="5">
        <f t="shared" si="47"/>
        <v>0</v>
      </c>
    </row>
    <row r="89" spans="2:15" ht="15.5" thickTop="1" thickBot="1" x14ac:dyDescent="0.4">
      <c r="B89" s="3">
        <f t="shared" ref="B89:C89" si="50">B45</f>
        <v>0</v>
      </c>
      <c r="C89" s="3">
        <f t="shared" si="50"/>
        <v>0</v>
      </c>
      <c r="D89" s="69">
        <v>0</v>
      </c>
      <c r="E89" s="5">
        <f t="shared" si="47"/>
        <v>0</v>
      </c>
    </row>
    <row r="90" spans="2:15" ht="15" thickTop="1" x14ac:dyDescent="0.35">
      <c r="B90" s="21"/>
      <c r="C90" s="21"/>
    </row>
    <row r="91" spans="2:15" x14ac:dyDescent="0.35">
      <c r="B91" s="21"/>
      <c r="C91" s="21"/>
    </row>
    <row r="92" spans="2:15" ht="17" x14ac:dyDescent="0.45">
      <c r="B92" s="159" t="s">
        <v>29</v>
      </c>
      <c r="C92" s="159"/>
      <c r="D92" s="159"/>
    </row>
    <row r="93" spans="2:15" ht="14.5" customHeight="1" outlineLevel="1" x14ac:dyDescent="0.35">
      <c r="B93" s="152" t="s">
        <v>151</v>
      </c>
      <c r="C93" s="152"/>
      <c r="D93" s="152"/>
      <c r="E93" s="152"/>
      <c r="F93" s="152"/>
      <c r="G93" s="152"/>
      <c r="H93" s="152"/>
      <c r="I93" s="152"/>
      <c r="J93" s="152"/>
      <c r="K93" s="152"/>
    </row>
    <row r="94" spans="2:15" ht="14.5" customHeight="1" outlineLevel="1" x14ac:dyDescent="0.35">
      <c r="B94" s="152"/>
      <c r="C94" s="152"/>
      <c r="D94" s="152"/>
      <c r="E94" s="152"/>
      <c r="F94" s="152"/>
      <c r="G94" s="152"/>
      <c r="H94" s="152"/>
      <c r="I94" s="152"/>
      <c r="J94" s="152"/>
      <c r="K94" s="152"/>
    </row>
    <row r="95" spans="2:15" ht="15" outlineLevel="1" thickBot="1" x14ac:dyDescent="0.4"/>
    <row r="96" spans="2:15" ht="16.5" outlineLevel="1" thickBot="1" x14ac:dyDescent="0.5">
      <c r="B96" s="147" t="s">
        <v>12</v>
      </c>
      <c r="C96" s="147"/>
      <c r="D96" s="156" t="s">
        <v>17</v>
      </c>
      <c r="E96" s="157"/>
      <c r="F96" s="157"/>
      <c r="G96" s="157"/>
      <c r="H96" s="157"/>
      <c r="I96" s="157"/>
      <c r="J96" s="158"/>
      <c r="K96" s="160" t="s">
        <v>18</v>
      </c>
      <c r="L96" s="161"/>
      <c r="M96" s="161"/>
      <c r="N96" s="162"/>
      <c r="O96" s="21"/>
    </row>
    <row r="97" spans="2:16" ht="36" outlineLevel="1" thickTop="1" thickBot="1" x14ac:dyDescent="0.4">
      <c r="B97" s="17" t="s">
        <v>1</v>
      </c>
      <c r="C97" s="72" t="s">
        <v>2</v>
      </c>
      <c r="D97" s="32" t="s">
        <v>3</v>
      </c>
      <c r="E97" s="62" t="s">
        <v>8</v>
      </c>
      <c r="F97" s="64" t="s">
        <v>22</v>
      </c>
      <c r="G97" s="33" t="s">
        <v>6</v>
      </c>
      <c r="H97" s="33" t="s">
        <v>23</v>
      </c>
      <c r="I97" s="33" t="s">
        <v>20</v>
      </c>
      <c r="J97" s="33" t="s">
        <v>21</v>
      </c>
      <c r="K97" s="63" t="s">
        <v>3</v>
      </c>
      <c r="L97" s="63" t="s">
        <v>8</v>
      </c>
      <c r="M97" s="34" t="s">
        <v>9</v>
      </c>
      <c r="N97" s="35" t="s">
        <v>5</v>
      </c>
      <c r="O97" s="74" t="s">
        <v>27</v>
      </c>
      <c r="P97" s="21"/>
    </row>
    <row r="98" spans="2:16" ht="15.5" outlineLevel="1" thickTop="1" thickBot="1" x14ac:dyDescent="0.4">
      <c r="B98" s="3" t="str">
        <f>B7</f>
        <v>GAPB</v>
      </c>
      <c r="C98" s="37" t="str">
        <f>C7</f>
        <v>Grupo Aeroportuario del Pacifico, S.A.B. de C.V.</v>
      </c>
      <c r="D98" s="94">
        <v>7</v>
      </c>
      <c r="E98" s="95">
        <v>214.37476239885609</v>
      </c>
      <c r="F98" s="5">
        <f t="shared" ref="F98:F132" si="51">F7</f>
        <v>387.27</v>
      </c>
      <c r="G98" s="6">
        <f t="shared" ref="G98:G132" si="52">D98*F98/$F$139</f>
        <v>6.615395456488693E-2</v>
      </c>
      <c r="H98" s="5">
        <f t="shared" ref="H98:H132" si="53">H7</f>
        <v>438.21</v>
      </c>
      <c r="I98" s="5">
        <f>IFERROR(I7/D7*D98,0)</f>
        <v>0</v>
      </c>
      <c r="J98" s="58">
        <f>(H98+I98/D98)/F98-1</f>
        <v>0.13153613757843363</v>
      </c>
      <c r="K98" s="107">
        <f t="shared" ref="K98:K131" si="54">D98+D142</f>
        <v>3</v>
      </c>
      <c r="L98" s="65">
        <f t="shared" ref="L98:L131" si="55">IF(K98&gt;0,IF(K98&gt;D98,(D98*E98+(K98-D98)*E142)/K98,E98),0)</f>
        <v>214.37476239885609</v>
      </c>
      <c r="M98" s="4">
        <f>K98*H98</f>
        <v>1314.6299999999999</v>
      </c>
      <c r="N98" s="39">
        <f t="shared" ref="N98:N116" si="56">M98/$M$139</f>
        <v>2.9533931863357454E-2</v>
      </c>
      <c r="O98" s="40">
        <f t="shared" ref="O98:O131" si="57">N98-N7</f>
        <v>3.9541661369069461E-4</v>
      </c>
      <c r="P98" s="21"/>
    </row>
    <row r="99" spans="2:16" ht="15.5" outlineLevel="1" thickTop="1" thickBot="1" x14ac:dyDescent="0.4">
      <c r="B99" s="3" t="str">
        <f t="shared" ref="B99:C99" si="58">B8</f>
        <v>SIGMAFA</v>
      </c>
      <c r="C99" s="37" t="str">
        <f t="shared" si="58"/>
        <v>Sigma Foods SAB de CV</v>
      </c>
      <c r="D99" s="94">
        <v>71</v>
      </c>
      <c r="E99" s="95">
        <v>12.807926086058098</v>
      </c>
      <c r="F99" s="5">
        <f t="shared" si="51"/>
        <v>14.01</v>
      </c>
      <c r="G99" s="6">
        <f t="shared" si="52"/>
        <v>2.4273946986133221E-2</v>
      </c>
      <c r="H99" s="5">
        <f t="shared" si="53"/>
        <v>16.55</v>
      </c>
      <c r="I99" s="5">
        <f t="shared" ref="I99:I136" si="59">IFERROR(I8/D8*D99,0)</f>
        <v>17.121791999999999</v>
      </c>
      <c r="J99" s="58">
        <f t="shared" ref="J99:J136" si="60">(H99+I99/D99)/F99-1</f>
        <v>0.19851192005710216</v>
      </c>
      <c r="K99" s="107">
        <f t="shared" si="54"/>
        <v>57</v>
      </c>
      <c r="L99" s="65">
        <f t="shared" si="55"/>
        <v>12.807926086058098</v>
      </c>
      <c r="M99" s="4">
        <f t="shared" ref="M99:M131" si="61">K99*H99</f>
        <v>943.35</v>
      </c>
      <c r="N99" s="39">
        <f t="shared" si="56"/>
        <v>2.1192909505562976E-2</v>
      </c>
      <c r="O99" s="40">
        <f t="shared" si="57"/>
        <v>-4.4991259307855178E-4</v>
      </c>
      <c r="P99" s="21"/>
    </row>
    <row r="100" spans="2:16" ht="15.5" outlineLevel="1" thickTop="1" thickBot="1" x14ac:dyDescent="0.4">
      <c r="B100" s="3" t="str">
        <f t="shared" ref="B100:C100" si="62">B9</f>
        <v>WALMEX</v>
      </c>
      <c r="C100" s="37" t="str">
        <f t="shared" si="62"/>
        <v>Walmart de Mexico SAB de CV</v>
      </c>
      <c r="D100" s="94">
        <v>13</v>
      </c>
      <c r="E100" s="95">
        <v>63.90778658940242</v>
      </c>
      <c r="F100" s="5">
        <f t="shared" si="51"/>
        <v>61.42</v>
      </c>
      <c r="G100" s="6">
        <f t="shared" si="52"/>
        <v>1.9484850570063567E-2</v>
      </c>
      <c r="H100" s="5">
        <f t="shared" si="53"/>
        <v>55.07</v>
      </c>
      <c r="I100" s="5">
        <f t="shared" si="59"/>
        <v>21.97</v>
      </c>
      <c r="J100" s="58">
        <f t="shared" si="60"/>
        <v>-7.5871051774666243E-2</v>
      </c>
      <c r="K100" s="107">
        <f t="shared" si="54"/>
        <v>15</v>
      </c>
      <c r="L100" s="65">
        <f t="shared" si="55"/>
        <v>62.729415044148759</v>
      </c>
      <c r="M100" s="4">
        <f t="shared" si="61"/>
        <v>826.05</v>
      </c>
      <c r="N100" s="39">
        <f t="shared" si="56"/>
        <v>1.8557696398018016E-2</v>
      </c>
      <c r="O100" s="40">
        <f t="shared" si="57"/>
        <v>-9.7215501020055453E-4</v>
      </c>
      <c r="P100" s="21"/>
    </row>
    <row r="101" spans="2:16" ht="15.5" outlineLevel="1" thickTop="1" thickBot="1" x14ac:dyDescent="0.4">
      <c r="B101" s="3" t="str">
        <f t="shared" ref="B101:C101" si="63">B10</f>
        <v>ORBIA</v>
      </c>
      <c r="C101" s="37" t="str">
        <f t="shared" si="63"/>
        <v>ORBIA ADVANCE CORPORATION SAB de CV</v>
      </c>
      <c r="D101" s="94">
        <v>39</v>
      </c>
      <c r="E101" s="95">
        <v>40.124660247411484</v>
      </c>
      <c r="F101" s="5">
        <f t="shared" si="51"/>
        <v>16.89</v>
      </c>
      <c r="G101" s="6">
        <f t="shared" si="52"/>
        <v>1.6074525861040721E-2</v>
      </c>
      <c r="H101" s="5">
        <f t="shared" si="53"/>
        <v>20.91</v>
      </c>
      <c r="I101" s="5">
        <f t="shared" si="59"/>
        <v>0</v>
      </c>
      <c r="J101" s="58">
        <f t="shared" si="60"/>
        <v>0.23801065719360559</v>
      </c>
      <c r="K101" s="107">
        <f t="shared" si="54"/>
        <v>73</v>
      </c>
      <c r="L101" s="65">
        <f t="shared" si="55"/>
        <v>31.1753664335486</v>
      </c>
      <c r="M101" s="4">
        <f t="shared" si="61"/>
        <v>1526.43</v>
      </c>
      <c r="N101" s="39">
        <f t="shared" si="56"/>
        <v>3.4292142742965492E-2</v>
      </c>
      <c r="O101" s="40">
        <f t="shared" si="57"/>
        <v>-4.6780989792198635E-4</v>
      </c>
      <c r="P101" s="21"/>
    </row>
    <row r="102" spans="2:16" ht="15.5" outlineLevel="1" thickTop="1" thickBot="1" x14ac:dyDescent="0.4">
      <c r="B102" s="3" t="str">
        <f t="shared" ref="B102:C102" si="64">B11</f>
        <v>OMAB</v>
      </c>
      <c r="C102" s="37" t="str">
        <f t="shared" si="64"/>
        <v>Grupo Aeroportuario del Centro Norte, S.A.B. de C.V.</v>
      </c>
      <c r="D102" s="94">
        <v>10</v>
      </c>
      <c r="E102" s="95">
        <v>106.4765609741211</v>
      </c>
      <c r="F102" s="5">
        <f t="shared" si="51"/>
        <v>228.94</v>
      </c>
      <c r="G102" s="6">
        <f t="shared" si="52"/>
        <v>5.5868317630317778E-2</v>
      </c>
      <c r="H102" s="5">
        <f t="shared" si="53"/>
        <v>231.83</v>
      </c>
      <c r="I102" s="5">
        <f t="shared" si="59"/>
        <v>57.675809999999998</v>
      </c>
      <c r="J102" s="58">
        <f t="shared" si="60"/>
        <v>3.7815938673888549E-2</v>
      </c>
      <c r="K102" s="107">
        <f t="shared" si="54"/>
        <v>8</v>
      </c>
      <c r="L102" s="65">
        <f t="shared" si="55"/>
        <v>106.4765609741211</v>
      </c>
      <c r="M102" s="4">
        <f t="shared" si="61"/>
        <v>1854.64</v>
      </c>
      <c r="N102" s="39">
        <f t="shared" si="56"/>
        <v>4.1665572359566777E-2</v>
      </c>
      <c r="O102" s="40">
        <f t="shared" si="57"/>
        <v>5.5784172612469152E-4</v>
      </c>
      <c r="P102" s="21"/>
    </row>
    <row r="103" spans="2:16" ht="15.5" outlineLevel="1" thickTop="1" thickBot="1" x14ac:dyDescent="0.4">
      <c r="B103" s="3" t="str">
        <f t="shared" ref="B103:C103" si="65">B12</f>
        <v>TLEVISACPO</v>
      </c>
      <c r="C103" s="37" t="str">
        <f t="shared" si="65"/>
        <v>Grupo Televisa SAB CPO</v>
      </c>
      <c r="D103" s="94">
        <v>198</v>
      </c>
      <c r="E103" s="95">
        <v>16.638202368611037</v>
      </c>
      <c r="F103" s="5">
        <f t="shared" si="51"/>
        <v>9.68</v>
      </c>
      <c r="G103" s="6">
        <f t="shared" si="52"/>
        <v>4.6771840789277652E-2</v>
      </c>
      <c r="H103" s="5">
        <f t="shared" si="53"/>
        <v>9.9600000000000009</v>
      </c>
      <c r="I103" s="5">
        <f t="shared" si="59"/>
        <v>0</v>
      </c>
      <c r="J103" s="58">
        <f t="shared" si="60"/>
        <v>2.8925619834710758E-2</v>
      </c>
      <c r="K103" s="107">
        <f t="shared" si="54"/>
        <v>102</v>
      </c>
      <c r="L103" s="65">
        <f t="shared" si="55"/>
        <v>16.638202368611037</v>
      </c>
      <c r="M103" s="4">
        <f t="shared" si="61"/>
        <v>1015.9200000000001</v>
      </c>
      <c r="N103" s="39">
        <f t="shared" si="56"/>
        <v>2.2823237000998083E-2</v>
      </c>
      <c r="O103" s="40">
        <f t="shared" si="57"/>
        <v>-3.5671420055787342E-4</v>
      </c>
      <c r="P103" s="21"/>
    </row>
    <row r="104" spans="2:16" ht="15.5" outlineLevel="1" thickTop="1" thickBot="1" x14ac:dyDescent="0.4">
      <c r="B104" s="3" t="str">
        <f t="shared" ref="B104:C104" si="66">B13</f>
        <v>CEMEXCPO</v>
      </c>
      <c r="C104" s="37" t="str">
        <f t="shared" si="66"/>
        <v>Cemex SA CPO</v>
      </c>
      <c r="D104" s="94">
        <v>98</v>
      </c>
      <c r="E104" s="95">
        <v>10.886807264820224</v>
      </c>
      <c r="F104" s="5">
        <f t="shared" si="51"/>
        <v>18.88</v>
      </c>
      <c r="G104" s="6">
        <f t="shared" si="52"/>
        <v>4.5151478995509371E-2</v>
      </c>
      <c r="H104" s="5">
        <f t="shared" si="53"/>
        <v>21.45</v>
      </c>
      <c r="I104" s="5">
        <f t="shared" si="59"/>
        <v>7.8189299999999982</v>
      </c>
      <c r="J104" s="58">
        <f t="shared" si="60"/>
        <v>0.14034878177966115</v>
      </c>
      <c r="K104" s="107">
        <f t="shared" si="54"/>
        <v>71</v>
      </c>
      <c r="L104" s="65">
        <f t="shared" si="55"/>
        <v>10.886807264820224</v>
      </c>
      <c r="M104" s="4">
        <f t="shared" si="61"/>
        <v>1522.95</v>
      </c>
      <c r="N104" s="39">
        <f t="shared" si="56"/>
        <v>3.4213962507549836E-2</v>
      </c>
      <c r="O104" s="40">
        <f t="shared" si="57"/>
        <v>-4.9279460562322297E-4</v>
      </c>
      <c r="P104" s="21"/>
    </row>
    <row r="105" spans="2:16" ht="15.5" outlineLevel="1" thickTop="1" thickBot="1" x14ac:dyDescent="0.4">
      <c r="B105" s="3" t="str">
        <f t="shared" ref="B105:C105" si="67">B14</f>
        <v>PINFRA</v>
      </c>
      <c r="C105" s="37" t="str">
        <f t="shared" si="67"/>
        <v>Promotora y Operadora de Infraestructura SAB de CV</v>
      </c>
      <c r="D105" s="94">
        <v>7</v>
      </c>
      <c r="E105" s="95">
        <v>142.14872741699222</v>
      </c>
      <c r="F105" s="5">
        <f t="shared" si="51"/>
        <v>240.61</v>
      </c>
      <c r="G105" s="6">
        <f t="shared" si="52"/>
        <v>4.1101306602260558E-2</v>
      </c>
      <c r="H105" s="5">
        <f t="shared" si="53"/>
        <v>276.60000000000002</v>
      </c>
      <c r="I105" s="5">
        <f t="shared" si="59"/>
        <v>16.7050436</v>
      </c>
      <c r="J105" s="58">
        <f t="shared" si="60"/>
        <v>0.15949642491999505</v>
      </c>
      <c r="K105" s="107">
        <f t="shared" si="54"/>
        <v>5</v>
      </c>
      <c r="L105" s="65">
        <f t="shared" si="55"/>
        <v>142.14872741699222</v>
      </c>
      <c r="M105" s="4">
        <f t="shared" si="61"/>
        <v>1383</v>
      </c>
      <c r="N105" s="39">
        <f t="shared" si="56"/>
        <v>3.1069903902256422E-2</v>
      </c>
      <c r="O105" s="40">
        <f t="shared" si="57"/>
        <v>4.1598105682528683E-4</v>
      </c>
      <c r="P105" s="21"/>
    </row>
    <row r="106" spans="2:16" ht="15.5" outlineLevel="1" thickTop="1" thickBot="1" x14ac:dyDescent="0.4">
      <c r="B106" s="3" t="str">
        <f t="shared" ref="B106:C106" si="68">B15</f>
        <v>GMEXICOB</v>
      </c>
      <c r="C106" s="37" t="str">
        <f t="shared" si="68"/>
        <v>Grupo Mexico SAB de CV B</v>
      </c>
      <c r="D106" s="94">
        <v>12</v>
      </c>
      <c r="E106" s="95">
        <v>75.837009429931641</v>
      </c>
      <c r="F106" s="5">
        <f t="shared" si="51"/>
        <v>160.62</v>
      </c>
      <c r="G106" s="6">
        <f t="shared" si="52"/>
        <v>4.7035393611155628E-2</v>
      </c>
      <c r="H106" s="5">
        <f t="shared" si="53"/>
        <v>191.2</v>
      </c>
      <c r="I106" s="5">
        <f t="shared" si="59"/>
        <v>36</v>
      </c>
      <c r="J106" s="58">
        <f t="shared" si="60"/>
        <v>0.20906487361474269</v>
      </c>
      <c r="K106" s="107">
        <f t="shared" si="54"/>
        <v>12</v>
      </c>
      <c r="L106" s="65">
        <f t="shared" si="55"/>
        <v>75.837009429931641</v>
      </c>
      <c r="M106" s="4">
        <f t="shared" si="61"/>
        <v>2294.3999999999996</v>
      </c>
      <c r="N106" s="39">
        <f t="shared" si="56"/>
        <v>5.1545037970598069E-2</v>
      </c>
      <c r="O106" s="40">
        <f t="shared" si="57"/>
        <v>6.9011347561818287E-4</v>
      </c>
      <c r="P106" s="21"/>
    </row>
    <row r="107" spans="2:16" ht="15.5" outlineLevel="1" thickTop="1" thickBot="1" x14ac:dyDescent="0.4">
      <c r="B107" s="3" t="str">
        <f t="shared" ref="B107:C107" si="69">B16</f>
        <v>AC</v>
      </c>
      <c r="C107" s="37" t="str">
        <f t="shared" si="69"/>
        <v>Arca Continental, SAB de CV</v>
      </c>
      <c r="D107" s="94">
        <v>3</v>
      </c>
      <c r="E107" s="95">
        <v>125.46975199381511</v>
      </c>
      <c r="F107" s="5">
        <f t="shared" si="51"/>
        <v>179.94</v>
      </c>
      <c r="G107" s="6">
        <f t="shared" si="52"/>
        <v>1.3173248546867361E-2</v>
      </c>
      <c r="H107" s="5">
        <f t="shared" si="53"/>
        <v>209.87</v>
      </c>
      <c r="I107" s="5">
        <f t="shared" si="59"/>
        <v>15.84</v>
      </c>
      <c r="J107" s="58">
        <f t="shared" si="60"/>
        <v>0.19567633655663008</v>
      </c>
      <c r="K107" s="107">
        <f t="shared" si="54"/>
        <v>5</v>
      </c>
      <c r="L107" s="65">
        <f t="shared" si="55"/>
        <v>159.22985119628908</v>
      </c>
      <c r="M107" s="4">
        <f t="shared" si="61"/>
        <v>1049.3499999999999</v>
      </c>
      <c r="N107" s="39">
        <f t="shared" si="56"/>
        <v>2.3574261503855946E-2</v>
      </c>
      <c r="O107" s="40">
        <f t="shared" si="57"/>
        <v>3.1562525088909069E-4</v>
      </c>
      <c r="P107" s="21"/>
    </row>
    <row r="108" spans="2:16" ht="15.5" outlineLevel="1" thickTop="1" thickBot="1" x14ac:dyDescent="0.4">
      <c r="B108" s="3" t="str">
        <f t="shared" ref="B108:C108" si="70">B17</f>
        <v>FEMSAUBD</v>
      </c>
      <c r="C108" s="37" t="str">
        <f t="shared" si="70"/>
        <v>Fomento Economico Mexicano S.A.B. de C.V.</v>
      </c>
      <c r="D108" s="94">
        <v>2</v>
      </c>
      <c r="E108" s="95">
        <v>154.1023864746094</v>
      </c>
      <c r="F108" s="5">
        <f t="shared" si="51"/>
        <v>175.26</v>
      </c>
      <c r="G108" s="6">
        <f t="shared" si="52"/>
        <v>8.5537532522839983E-3</v>
      </c>
      <c r="H108" s="5">
        <f t="shared" si="53"/>
        <v>206.45</v>
      </c>
      <c r="I108" s="5">
        <f t="shared" si="59"/>
        <v>13.75135</v>
      </c>
      <c r="J108" s="58">
        <f t="shared" si="60"/>
        <v>0.217195452470615</v>
      </c>
      <c r="K108" s="107">
        <f t="shared" si="54"/>
        <v>4</v>
      </c>
      <c r="L108" s="65">
        <f t="shared" si="55"/>
        <v>180.27619323730471</v>
      </c>
      <c r="M108" s="4">
        <f t="shared" si="61"/>
        <v>825.8</v>
      </c>
      <c r="N108" s="39">
        <f t="shared" si="56"/>
        <v>1.8552080001795628E-2</v>
      </c>
      <c r="O108" s="40">
        <f t="shared" si="57"/>
        <v>2.4838550739430393E-4</v>
      </c>
      <c r="P108" s="21"/>
    </row>
    <row r="109" spans="2:16" ht="15.5" outlineLevel="1" thickTop="1" thickBot="1" x14ac:dyDescent="0.4">
      <c r="B109" s="3" t="str">
        <f t="shared" ref="B109:C109" si="71">B18</f>
        <v>AMXB</v>
      </c>
      <c r="C109" s="37" t="str">
        <f t="shared" si="71"/>
        <v>America Movil SAB de CV B</v>
      </c>
      <c r="D109" s="94">
        <v>32</v>
      </c>
      <c r="E109" s="95">
        <v>15.969810366630556</v>
      </c>
      <c r="F109" s="5">
        <f t="shared" si="51"/>
        <v>21.19</v>
      </c>
      <c r="G109" s="6">
        <f t="shared" si="52"/>
        <v>1.6547212727686677E-2</v>
      </c>
      <c r="H109" s="5">
        <f t="shared" si="53"/>
        <v>23.21</v>
      </c>
      <c r="I109" s="5">
        <f t="shared" si="59"/>
        <v>8.32</v>
      </c>
      <c r="J109" s="58">
        <f t="shared" si="60"/>
        <v>0.10759792354884379</v>
      </c>
      <c r="K109" s="107">
        <f t="shared" si="54"/>
        <v>51</v>
      </c>
      <c r="L109" s="65">
        <f t="shared" si="55"/>
        <v>18.667135916317211</v>
      </c>
      <c r="M109" s="4">
        <f t="shared" si="61"/>
        <v>1183.71</v>
      </c>
      <c r="N109" s="39">
        <f t="shared" si="56"/>
        <v>2.6592737489616741E-2</v>
      </c>
      <c r="O109" s="40">
        <f t="shared" si="57"/>
        <v>-6.7285188843835969E-4</v>
      </c>
      <c r="P109" s="21"/>
    </row>
    <row r="110" spans="2:16" ht="15.5" outlineLevel="1" thickTop="1" thickBot="1" x14ac:dyDescent="0.4">
      <c r="B110" s="3" t="str">
        <f t="shared" ref="B110:C110" si="72">B19</f>
        <v>KOFUBL</v>
      </c>
      <c r="C110" s="37" t="str">
        <f t="shared" si="72"/>
        <v>Coca-Cola Femsa SAB de CV UBL</v>
      </c>
      <c r="D110" s="94">
        <v>4</v>
      </c>
      <c r="E110" s="95">
        <v>113.06492614746094</v>
      </c>
      <c r="F110" s="5">
        <f t="shared" si="51"/>
        <v>159.84</v>
      </c>
      <c r="G110" s="6">
        <f t="shared" si="52"/>
        <v>1.5602327055176017E-2</v>
      </c>
      <c r="H110" s="5">
        <f t="shared" si="53"/>
        <v>176.96</v>
      </c>
      <c r="I110" s="5">
        <f t="shared" si="59"/>
        <v>15.100000000000001</v>
      </c>
      <c r="J110" s="58">
        <f t="shared" si="60"/>
        <v>0.13072447447447444</v>
      </c>
      <c r="K110" s="107">
        <f t="shared" si="54"/>
        <v>5</v>
      </c>
      <c r="L110" s="65">
        <f t="shared" si="55"/>
        <v>125.84394091796875</v>
      </c>
      <c r="M110" s="4">
        <f t="shared" si="61"/>
        <v>884.80000000000007</v>
      </c>
      <c r="N110" s="39">
        <f t="shared" si="56"/>
        <v>1.9877549510279455E-2</v>
      </c>
      <c r="O110" s="40">
        <f t="shared" si="57"/>
        <v>2.6613162623211409E-4</v>
      </c>
      <c r="P110" s="21"/>
    </row>
    <row r="111" spans="2:16" ht="15.5" outlineLevel="1" thickTop="1" thickBot="1" x14ac:dyDescent="0.4">
      <c r="B111" s="3" t="str">
        <f t="shared" ref="B111:C111" si="73">B20</f>
        <v>ALSEA</v>
      </c>
      <c r="C111" s="37" t="str">
        <f t="shared" si="73"/>
        <v>Alsea SA</v>
      </c>
      <c r="D111" s="94">
        <v>9</v>
      </c>
      <c r="E111" s="95">
        <v>42.211525599161781</v>
      </c>
      <c r="F111" s="5">
        <f t="shared" si="51"/>
        <v>51.31</v>
      </c>
      <c r="G111" s="6">
        <f t="shared" si="52"/>
        <v>1.1269079408799006E-2</v>
      </c>
      <c r="H111" s="5">
        <f t="shared" si="53"/>
        <v>51.42</v>
      </c>
      <c r="I111" s="5">
        <f t="shared" si="59"/>
        <v>0</v>
      </c>
      <c r="J111" s="58">
        <f t="shared" si="60"/>
        <v>2.1438316117716738E-3</v>
      </c>
      <c r="K111" s="107">
        <f t="shared" si="54"/>
        <v>19</v>
      </c>
      <c r="L111" s="65">
        <f t="shared" si="55"/>
        <v>47.058091073287166</v>
      </c>
      <c r="M111" s="4">
        <f t="shared" si="61"/>
        <v>976.98</v>
      </c>
      <c r="N111" s="39">
        <f t="shared" si="56"/>
        <v>2.1948427125398757E-2</v>
      </c>
      <c r="O111" s="40">
        <f t="shared" si="57"/>
        <v>-8.4585650022769507E-4</v>
      </c>
      <c r="P111" s="21"/>
    </row>
    <row r="112" spans="2:16" ht="15.5" outlineLevel="1" thickTop="1" thickBot="1" x14ac:dyDescent="0.4">
      <c r="B112" s="3" t="str">
        <f t="shared" ref="B112:C112" si="74">B21</f>
        <v>GRUMAB</v>
      </c>
      <c r="C112" s="37" t="str">
        <f t="shared" si="74"/>
        <v>Gruma SAB B</v>
      </c>
      <c r="D112" s="94">
        <v>2</v>
      </c>
      <c r="E112" s="95">
        <v>225.28848266601563</v>
      </c>
      <c r="F112" s="5">
        <f t="shared" si="51"/>
        <v>315.29000000000002</v>
      </c>
      <c r="G112" s="6">
        <f t="shared" si="52"/>
        <v>1.538806837220485E-2</v>
      </c>
      <c r="H112" s="5">
        <f t="shared" si="53"/>
        <v>303.16000000000003</v>
      </c>
      <c r="I112" s="5">
        <f t="shared" si="59"/>
        <v>5.76</v>
      </c>
      <c r="J112" s="58">
        <f t="shared" si="60"/>
        <v>-2.9338069713596981E-2</v>
      </c>
      <c r="K112" s="107">
        <f t="shared" si="54"/>
        <v>3</v>
      </c>
      <c r="L112" s="65">
        <f t="shared" si="55"/>
        <v>251.24565511067712</v>
      </c>
      <c r="M112" s="4">
        <f t="shared" si="61"/>
        <v>909.48</v>
      </c>
      <c r="N112" s="39">
        <f t="shared" si="56"/>
        <v>2.0432000145353704E-2</v>
      </c>
      <c r="O112" s="40">
        <f t="shared" si="57"/>
        <v>2.7355491797647138E-4</v>
      </c>
      <c r="P112" s="21"/>
    </row>
    <row r="113" spans="2:16" ht="15.5" outlineLevel="1" thickTop="1" thickBot="1" x14ac:dyDescent="0.4">
      <c r="B113" s="3" t="str">
        <f t="shared" ref="B113:C113" si="75">B22</f>
        <v>ASURB</v>
      </c>
      <c r="C113" s="37" t="str">
        <f t="shared" si="75"/>
        <v>Grupo Aeroportuario del Sureste SAB de CV B</v>
      </c>
      <c r="D113" s="94">
        <v>3</v>
      </c>
      <c r="E113" s="95">
        <v>366.07857259114581</v>
      </c>
      <c r="F113" s="5">
        <f t="shared" si="51"/>
        <v>561.99</v>
      </c>
      <c r="G113" s="6">
        <f t="shared" si="52"/>
        <v>4.1142791768667274E-2</v>
      </c>
      <c r="H113" s="5">
        <f t="shared" si="53"/>
        <v>532.34</v>
      </c>
      <c r="I113" s="5">
        <f t="shared" si="59"/>
        <v>45</v>
      </c>
      <c r="J113" s="58">
        <f t="shared" si="60"/>
        <v>-2.6068079503194008E-2</v>
      </c>
      <c r="K113" s="107">
        <f t="shared" si="54"/>
        <v>2</v>
      </c>
      <c r="L113" s="65">
        <f t="shared" si="55"/>
        <v>366.07857259114581</v>
      </c>
      <c r="M113" s="4">
        <f t="shared" si="61"/>
        <v>1064.68</v>
      </c>
      <c r="N113" s="39">
        <f t="shared" si="56"/>
        <v>2.3918658920212849E-2</v>
      </c>
      <c r="O113" s="40">
        <f t="shared" si="57"/>
        <v>3.2023623397017115E-4</v>
      </c>
      <c r="P113" s="21"/>
    </row>
    <row r="114" spans="2:16" ht="15.5" outlineLevel="1" thickTop="1" thickBot="1" x14ac:dyDescent="0.4">
      <c r="B114" s="3" t="str">
        <f t="shared" ref="B114:C114" si="76">B23</f>
        <v>BIMBOA</v>
      </c>
      <c r="C114" s="37" t="str">
        <f t="shared" si="76"/>
        <v>Grupo Bimbo S.A.B.</v>
      </c>
      <c r="D114" s="94">
        <v>12</v>
      </c>
      <c r="E114" s="95">
        <v>62.467193543910987</v>
      </c>
      <c r="F114" s="5">
        <f t="shared" si="51"/>
        <v>64.2</v>
      </c>
      <c r="G114" s="6">
        <f t="shared" si="52"/>
        <v>1.8800101293962094E-2</v>
      </c>
      <c r="H114" s="5">
        <f t="shared" si="53"/>
        <v>59.48</v>
      </c>
      <c r="I114" s="5">
        <f t="shared" si="59"/>
        <v>0</v>
      </c>
      <c r="J114" s="58">
        <f t="shared" si="60"/>
        <v>-7.3520249221183942E-2</v>
      </c>
      <c r="K114" s="107">
        <f t="shared" si="54"/>
        <v>22</v>
      </c>
      <c r="L114" s="65">
        <f t="shared" si="55"/>
        <v>61.109378296678727</v>
      </c>
      <c r="M114" s="4">
        <f t="shared" si="61"/>
        <v>1308.56</v>
      </c>
      <c r="N114" s="39">
        <f t="shared" si="56"/>
        <v>2.9397565763077848E-2</v>
      </c>
      <c r="O114" s="40">
        <f t="shared" si="57"/>
        <v>-9.247716262667724E-4</v>
      </c>
      <c r="P114" s="21"/>
    </row>
    <row r="115" spans="2:16" ht="15.5" outlineLevel="1" thickTop="1" thickBot="1" x14ac:dyDescent="0.4">
      <c r="B115" s="3" t="str">
        <f t="shared" ref="B115:C115" si="77">B24</f>
        <v>PE&amp;OLES</v>
      </c>
      <c r="C115" s="37" t="str">
        <f t="shared" si="77"/>
        <v>Industrias Penoles</v>
      </c>
      <c r="D115" s="94">
        <v>6</v>
      </c>
      <c r="E115" s="95">
        <v>261.60172780354816</v>
      </c>
      <c r="F115" s="5">
        <f t="shared" si="51"/>
        <v>769.09</v>
      </c>
      <c r="G115" s="6">
        <f t="shared" si="52"/>
        <v>0.11260879987673914</v>
      </c>
      <c r="H115" s="5">
        <f t="shared" si="53"/>
        <v>880.7</v>
      </c>
      <c r="I115" s="5">
        <f t="shared" si="59"/>
        <v>0</v>
      </c>
      <c r="J115" s="58">
        <f t="shared" si="60"/>
        <v>0.14511955687890876</v>
      </c>
      <c r="K115" s="107">
        <f t="shared" si="54"/>
        <v>2</v>
      </c>
      <c r="L115" s="65">
        <f t="shared" si="55"/>
        <v>261.60172780354816</v>
      </c>
      <c r="M115" s="4">
        <f t="shared" si="61"/>
        <v>1761.4</v>
      </c>
      <c r="N115" s="39">
        <f t="shared" si="56"/>
        <v>3.9570881224464546E-2</v>
      </c>
      <c r="O115" s="40">
        <f t="shared" si="57"/>
        <v>5.2979684272744937E-4</v>
      </c>
      <c r="P115" s="21"/>
    </row>
    <row r="116" spans="2:16" ht="15.5" outlineLevel="1" thickTop="1" thickBot="1" x14ac:dyDescent="0.4">
      <c r="B116" s="3" t="str">
        <f t="shared" ref="B116:C116" si="78">B25</f>
        <v>BBAJIOO</v>
      </c>
      <c r="C116" s="37" t="str">
        <f t="shared" si="78"/>
        <v>Banco del Bajio, S.A.</v>
      </c>
      <c r="D116" s="94">
        <v>15</v>
      </c>
      <c r="E116" s="95">
        <v>29.640673319498703</v>
      </c>
      <c r="F116" s="5">
        <f t="shared" si="51"/>
        <v>47.57</v>
      </c>
      <c r="G116" s="6">
        <f t="shared" si="52"/>
        <v>1.7412788523243315E-2</v>
      </c>
      <c r="H116" s="5">
        <f t="shared" si="53"/>
        <v>54.68</v>
      </c>
      <c r="I116" s="5">
        <f t="shared" si="59"/>
        <v>13.473675000000002</v>
      </c>
      <c r="J116" s="58">
        <f t="shared" si="60"/>
        <v>0.16834654193819643</v>
      </c>
      <c r="K116" s="107">
        <f t="shared" si="54"/>
        <v>25</v>
      </c>
      <c r="L116" s="65">
        <f t="shared" si="55"/>
        <v>39.656403991699214</v>
      </c>
      <c r="M116" s="4">
        <f t="shared" si="61"/>
        <v>1367</v>
      </c>
      <c r="N116" s="39">
        <f t="shared" si="56"/>
        <v>3.0710454544023522E-2</v>
      </c>
      <c r="O116" s="40">
        <f t="shared" si="57"/>
        <v>-8.0080288973825506E-4</v>
      </c>
      <c r="P116" s="21"/>
    </row>
    <row r="117" spans="2:16" ht="15.5" outlineLevel="1" thickTop="1" thickBot="1" x14ac:dyDescent="0.4">
      <c r="B117" s="3" t="str">
        <f t="shared" ref="B117:C117" si="79">B26</f>
        <v>CUERVO</v>
      </c>
      <c r="C117" s="37" t="str">
        <f t="shared" si="79"/>
        <v>Becle, S.A. De C.V.</v>
      </c>
      <c r="D117" s="94">
        <v>12</v>
      </c>
      <c r="E117" s="95">
        <v>44.79033899307251</v>
      </c>
      <c r="F117" s="5">
        <f t="shared" si="51"/>
        <v>22.77</v>
      </c>
      <c r="G117" s="6">
        <f t="shared" si="52"/>
        <v>6.6678863935127237E-3</v>
      </c>
      <c r="H117" s="5">
        <f t="shared" si="53"/>
        <v>14.07</v>
      </c>
      <c r="I117" s="5">
        <f t="shared" si="59"/>
        <v>0</v>
      </c>
      <c r="J117" s="58">
        <f t="shared" si="60"/>
        <v>-0.38208168642951246</v>
      </c>
      <c r="K117" s="107">
        <f t="shared" si="54"/>
        <v>0</v>
      </c>
      <c r="L117" s="65">
        <f t="shared" si="55"/>
        <v>0</v>
      </c>
      <c r="M117" s="4">
        <f t="shared" si="61"/>
        <v>0</v>
      </c>
      <c r="N117" s="39">
        <f t="shared" ref="N117:N131" si="80">M117/$M$139</f>
        <v>0</v>
      </c>
      <c r="O117" s="40">
        <f t="shared" si="57"/>
        <v>0</v>
      </c>
      <c r="P117" s="21"/>
    </row>
    <row r="118" spans="2:16" ht="15.5" outlineLevel="1" thickTop="1" thickBot="1" x14ac:dyDescent="0.4">
      <c r="B118" s="3" t="str">
        <f t="shared" ref="B118:C118" si="81">B27</f>
        <v>BOLSAA</v>
      </c>
      <c r="C118" s="37" t="str">
        <f t="shared" si="81"/>
        <v>Bolsa Mexicana de Valores SA de CV</v>
      </c>
      <c r="D118" s="94">
        <v>24</v>
      </c>
      <c r="E118" s="95">
        <v>32.167166070143374</v>
      </c>
      <c r="F118" s="5">
        <f t="shared" si="51"/>
        <v>35.46</v>
      </c>
      <c r="G118" s="6">
        <f t="shared" si="52"/>
        <v>2.0767962363984292E-2</v>
      </c>
      <c r="H118" s="5">
        <f t="shared" si="53"/>
        <v>39.35</v>
      </c>
      <c r="I118" s="5">
        <f t="shared" si="59"/>
        <v>0</v>
      </c>
      <c r="J118" s="58">
        <f t="shared" si="60"/>
        <v>0.10970107163000575</v>
      </c>
      <c r="K118" s="107">
        <f t="shared" si="54"/>
        <v>30</v>
      </c>
      <c r="L118" s="65">
        <f t="shared" si="55"/>
        <v>33.603732856114704</v>
      </c>
      <c r="M118" s="4">
        <f t="shared" si="61"/>
        <v>1180.5</v>
      </c>
      <c r="N118" s="39">
        <f t="shared" si="80"/>
        <v>2.6520622962121265E-2</v>
      </c>
      <c r="O118" s="40">
        <f t="shared" si="57"/>
        <v>-5.1711223889043187E-4</v>
      </c>
      <c r="P118" s="21"/>
    </row>
    <row r="119" spans="2:16" ht="15.5" outlineLevel="1" thickTop="1" thickBot="1" x14ac:dyDescent="0.4">
      <c r="B119" s="3" t="str">
        <f t="shared" ref="B119:C119" si="82">B28</f>
        <v>VESTA</v>
      </c>
      <c r="C119" s="37" t="str">
        <f t="shared" si="82"/>
        <v>Corporacion Inmobiliaria Vesta, S.A.B. DE C.V.</v>
      </c>
      <c r="D119" s="94">
        <v>15</v>
      </c>
      <c r="E119" s="95">
        <v>43.853696187337242</v>
      </c>
      <c r="F119" s="5">
        <f t="shared" si="51"/>
        <v>56.4</v>
      </c>
      <c r="G119" s="6">
        <f t="shared" si="52"/>
        <v>2.0644971047107906E-2</v>
      </c>
      <c r="H119" s="5">
        <f t="shared" si="53"/>
        <v>62.18</v>
      </c>
      <c r="I119" s="5">
        <f t="shared" si="59"/>
        <v>5.2631874000000005</v>
      </c>
      <c r="J119" s="58">
        <f t="shared" si="60"/>
        <v>0.10870353120567366</v>
      </c>
      <c r="K119" s="107">
        <f t="shared" si="54"/>
        <v>15</v>
      </c>
      <c r="L119" s="65">
        <f t="shared" si="55"/>
        <v>43.853696187337242</v>
      </c>
      <c r="M119" s="4">
        <f t="shared" si="61"/>
        <v>932.7</v>
      </c>
      <c r="N119" s="39">
        <f t="shared" si="80"/>
        <v>2.0953651026489203E-2</v>
      </c>
      <c r="O119" s="40">
        <f t="shared" si="57"/>
        <v>-1.0976683953925967E-3</v>
      </c>
      <c r="P119" s="21"/>
    </row>
    <row r="120" spans="2:16" ht="15.5" outlineLevel="1" thickTop="1" thickBot="1" x14ac:dyDescent="0.4">
      <c r="B120" s="3" t="str">
        <f t="shared" ref="B120:C120" si="83">B29</f>
        <v>LIVEPOLC-1</v>
      </c>
      <c r="C120" s="37" t="str">
        <f t="shared" si="83"/>
        <v>El Puerto de Liverpool SAB de CV</v>
      </c>
      <c r="D120" s="94">
        <v>5</v>
      </c>
      <c r="E120" s="95">
        <v>134.15110778808591</v>
      </c>
      <c r="F120" s="5">
        <f t="shared" si="51"/>
        <v>90.57</v>
      </c>
      <c r="G120" s="6">
        <f t="shared" si="52"/>
        <v>1.1050916239577794E-2</v>
      </c>
      <c r="H120" s="5">
        <f t="shared" si="53"/>
        <v>103.44</v>
      </c>
      <c r="I120" s="5">
        <f t="shared" si="59"/>
        <v>0</v>
      </c>
      <c r="J120" s="58">
        <f t="shared" si="60"/>
        <v>0.14210003312355091</v>
      </c>
      <c r="K120" s="107">
        <f t="shared" si="54"/>
        <v>13</v>
      </c>
      <c r="L120" s="65">
        <f t="shared" si="55"/>
        <v>115.2519645338792</v>
      </c>
      <c r="M120" s="4">
        <f t="shared" si="61"/>
        <v>1344.72</v>
      </c>
      <c r="N120" s="39">
        <f t="shared" si="80"/>
        <v>3.0209921312684206E-2</v>
      </c>
      <c r="O120" s="40">
        <f t="shared" si="57"/>
        <v>4.0446713429797415E-4</v>
      </c>
      <c r="P120" s="21"/>
    </row>
    <row r="121" spans="2:16" ht="15.5" outlineLevel="1" thickTop="1" thickBot="1" x14ac:dyDescent="0.4">
      <c r="B121" s="3" t="str">
        <f t="shared" ref="B121:C121" si="84">B30</f>
        <v>LABB</v>
      </c>
      <c r="C121" s="37" t="str">
        <f t="shared" si="84"/>
        <v>Genomma Lab Internacional SA de CV</v>
      </c>
      <c r="D121" s="94">
        <v>56</v>
      </c>
      <c r="E121" s="95">
        <v>15.758363394737245</v>
      </c>
      <c r="F121" s="5">
        <f t="shared" si="51"/>
        <v>18.18</v>
      </c>
      <c r="G121" s="6">
        <f t="shared" si="52"/>
        <v>2.4844246009030277E-2</v>
      </c>
      <c r="H121" s="5">
        <f t="shared" si="53"/>
        <v>16.48</v>
      </c>
      <c r="I121" s="5">
        <f t="shared" si="59"/>
        <v>22.400000000000006</v>
      </c>
      <c r="J121" s="58">
        <f t="shared" si="60"/>
        <v>-7.1507150715071521E-2</v>
      </c>
      <c r="K121" s="107">
        <f t="shared" si="54"/>
        <v>93</v>
      </c>
      <c r="L121" s="65">
        <f t="shared" si="55"/>
        <v>16.045466130164364</v>
      </c>
      <c r="M121" s="4">
        <f t="shared" si="61"/>
        <v>1532.64</v>
      </c>
      <c r="N121" s="39">
        <f t="shared" si="80"/>
        <v>3.4431654025129634E-2</v>
      </c>
      <c r="O121" s="40">
        <f t="shared" si="57"/>
        <v>-6.3483784421215078E-4</v>
      </c>
      <c r="P121" s="21"/>
    </row>
    <row r="122" spans="2:16" ht="15.5" outlineLevel="1" thickTop="1" thickBot="1" x14ac:dyDescent="0.4">
      <c r="B122" s="3" t="str">
        <f t="shared" ref="B122:C122" si="85">B31</f>
        <v>GCARSOA1</v>
      </c>
      <c r="C122" s="37" t="str">
        <f t="shared" si="85"/>
        <v>Grupo Carso SAB de CV</v>
      </c>
      <c r="D122" s="94">
        <v>11</v>
      </c>
      <c r="E122" s="95">
        <v>84.512538563121453</v>
      </c>
      <c r="F122" s="5">
        <f t="shared" si="51"/>
        <v>132.78</v>
      </c>
      <c r="G122" s="6">
        <f t="shared" si="52"/>
        <v>3.564259079430835E-2</v>
      </c>
      <c r="H122" s="5">
        <f t="shared" si="53"/>
        <v>132.81</v>
      </c>
      <c r="I122" s="5">
        <f t="shared" si="59"/>
        <v>8.25</v>
      </c>
      <c r="J122" s="58">
        <f t="shared" si="60"/>
        <v>5.8743786714867685E-3</v>
      </c>
      <c r="K122" s="107">
        <f t="shared" si="54"/>
        <v>10</v>
      </c>
      <c r="L122" s="65">
        <f t="shared" si="55"/>
        <v>84.512538563121453</v>
      </c>
      <c r="M122" s="4">
        <f t="shared" si="61"/>
        <v>1328.1</v>
      </c>
      <c r="N122" s="39">
        <f t="shared" si="80"/>
        <v>2.9836543291819777E-2</v>
      </c>
      <c r="O122" s="40">
        <f t="shared" si="57"/>
        <v>3.9946814285586607E-4</v>
      </c>
      <c r="P122" s="21"/>
    </row>
    <row r="123" spans="2:16" ht="15.5" outlineLevel="1" thickTop="1" thickBot="1" x14ac:dyDescent="0.4">
      <c r="B123" s="3" t="str">
        <f t="shared" ref="B123:C123" si="86">B32</f>
        <v>GCC</v>
      </c>
      <c r="C123" s="37" t="str">
        <f t="shared" si="86"/>
        <v>Grupo Cementos de Chihuahua SAB de CV</v>
      </c>
      <c r="D123" s="94">
        <v>6</v>
      </c>
      <c r="E123" s="95">
        <v>138.98826381138397</v>
      </c>
      <c r="F123" s="5">
        <f t="shared" si="51"/>
        <v>178.4</v>
      </c>
      <c r="G123" s="6">
        <f t="shared" si="52"/>
        <v>2.6121013012794684E-2</v>
      </c>
      <c r="H123" s="5">
        <f t="shared" si="53"/>
        <v>206.4</v>
      </c>
      <c r="I123" s="5">
        <f t="shared" si="59"/>
        <v>0</v>
      </c>
      <c r="J123" s="58">
        <f t="shared" si="60"/>
        <v>0.15695067264573992</v>
      </c>
      <c r="K123" s="107">
        <f t="shared" si="54"/>
        <v>7</v>
      </c>
      <c r="L123" s="65">
        <f t="shared" si="55"/>
        <v>148.61851183832914</v>
      </c>
      <c r="M123" s="4">
        <f t="shared" si="61"/>
        <v>1444.8</v>
      </c>
      <c r="N123" s="39">
        <f t="shared" si="80"/>
        <v>3.2458277048431003E-2</v>
      </c>
      <c r="O123" s="40">
        <f t="shared" si="57"/>
        <v>4.3456936435370269E-4</v>
      </c>
      <c r="P123" s="21"/>
    </row>
    <row r="124" spans="2:16" ht="15.5" outlineLevel="1" thickTop="1" thickBot="1" x14ac:dyDescent="0.4">
      <c r="B124" s="3" t="str">
        <f t="shared" ref="B124:C124" si="87">B33</f>
        <v>GFNORTEO</v>
      </c>
      <c r="C124" s="37" t="str">
        <f t="shared" si="87"/>
        <v>Grupo Financiero Banorte O</v>
      </c>
      <c r="D124" s="94">
        <v>6</v>
      </c>
      <c r="E124" s="95">
        <v>104.67718696594233</v>
      </c>
      <c r="F124" s="5">
        <f t="shared" si="51"/>
        <v>174.85</v>
      </c>
      <c r="G124" s="6">
        <f t="shared" si="52"/>
        <v>2.5601228280757567E-2</v>
      </c>
      <c r="H124" s="5">
        <f t="shared" si="53"/>
        <v>189.68</v>
      </c>
      <c r="I124" s="5">
        <f t="shared" si="59"/>
        <v>41.944127999999999</v>
      </c>
      <c r="J124" s="58">
        <f t="shared" si="60"/>
        <v>0.12479661424077793</v>
      </c>
      <c r="K124" s="107">
        <f t="shared" si="54"/>
        <v>8</v>
      </c>
      <c r="L124" s="65">
        <f t="shared" si="55"/>
        <v>125.92789022445675</v>
      </c>
      <c r="M124" s="4">
        <f t="shared" si="61"/>
        <v>1517.44</v>
      </c>
      <c r="N124" s="39">
        <f t="shared" si="80"/>
        <v>3.4090177134808379E-2</v>
      </c>
      <c r="O124" s="40">
        <f t="shared" si="57"/>
        <v>4.5641814524147867E-4</v>
      </c>
      <c r="P124" s="21"/>
    </row>
    <row r="125" spans="2:16" ht="15.5" outlineLevel="1" thickTop="1" thickBot="1" x14ac:dyDescent="0.4">
      <c r="B125" s="3" t="str">
        <f t="shared" ref="B125:C125" si="88">B34</f>
        <v>GFINBURO</v>
      </c>
      <c r="C125" s="37" t="str">
        <f t="shared" si="88"/>
        <v>Grupo Financiero Inbursa O</v>
      </c>
      <c r="D125" s="94">
        <v>27</v>
      </c>
      <c r="E125" s="95">
        <v>23.547000058492028</v>
      </c>
      <c r="F125" s="5">
        <f t="shared" si="51"/>
        <v>45.12</v>
      </c>
      <c r="G125" s="6">
        <f t="shared" si="52"/>
        <v>2.9728758307835383E-2</v>
      </c>
      <c r="H125" s="5">
        <f t="shared" si="53"/>
        <v>43</v>
      </c>
      <c r="I125" s="5">
        <f t="shared" si="59"/>
        <v>0</v>
      </c>
      <c r="J125" s="58">
        <f t="shared" si="60"/>
        <v>-4.6985815602836878E-2</v>
      </c>
      <c r="K125" s="107">
        <f t="shared" si="54"/>
        <v>28</v>
      </c>
      <c r="L125" s="65">
        <f t="shared" si="55"/>
        <v>24.241750056403028</v>
      </c>
      <c r="M125" s="4">
        <f t="shared" si="61"/>
        <v>1204</v>
      </c>
      <c r="N125" s="39">
        <f t="shared" si="80"/>
        <v>2.7048564207025838E-2</v>
      </c>
      <c r="O125" s="40">
        <f t="shared" si="57"/>
        <v>-5.9094540125516348E-4</v>
      </c>
      <c r="P125" s="21"/>
    </row>
    <row r="126" spans="2:16" ht="15.5" outlineLevel="1" thickTop="1" thickBot="1" x14ac:dyDescent="0.4">
      <c r="B126" s="3" t="str">
        <f t="shared" ref="B126:C126" si="89">B35</f>
        <v>KIMBERA</v>
      </c>
      <c r="C126" s="37" t="str">
        <f t="shared" si="89"/>
        <v>Kimberly Clark de Mexico S.A.B. de C.V. A</v>
      </c>
      <c r="D126" s="94">
        <v>25</v>
      </c>
      <c r="E126" s="95">
        <v>30.019929000854486</v>
      </c>
      <c r="F126" s="5">
        <f t="shared" si="51"/>
        <v>35.96</v>
      </c>
      <c r="G126" s="6">
        <f t="shared" si="52"/>
        <v>2.1938332117434997E-2</v>
      </c>
      <c r="H126" s="5">
        <f t="shared" si="53"/>
        <v>39.5</v>
      </c>
      <c r="I126" s="5">
        <f t="shared" si="59"/>
        <v>26.5</v>
      </c>
      <c r="J126" s="58">
        <f t="shared" si="60"/>
        <v>0.12791991101223577</v>
      </c>
      <c r="K126" s="107">
        <f t="shared" si="54"/>
        <v>39</v>
      </c>
      <c r="L126" s="65">
        <f t="shared" si="55"/>
        <v>33.423031410804157</v>
      </c>
      <c r="M126" s="4">
        <f t="shared" si="61"/>
        <v>1540.5</v>
      </c>
      <c r="N126" s="39">
        <f t="shared" si="80"/>
        <v>3.4608233522361545E-2</v>
      </c>
      <c r="O126" s="40">
        <f t="shared" si="57"/>
        <v>-4.1215555629441764E-4</v>
      </c>
      <c r="P126" s="21"/>
    </row>
    <row r="127" spans="2:16" ht="15.5" outlineLevel="1" thickTop="1" thickBot="1" x14ac:dyDescent="0.4">
      <c r="B127" s="3" t="str">
        <f t="shared" ref="B127:C127" si="90">B36</f>
        <v>MEGACPO</v>
      </c>
      <c r="C127" s="37" t="str">
        <f t="shared" si="90"/>
        <v>Megacable Holdings SAB de CV</v>
      </c>
      <c r="D127" s="94">
        <v>18</v>
      </c>
      <c r="E127" s="95">
        <v>42.989203861781526</v>
      </c>
      <c r="F127" s="5">
        <f t="shared" si="51"/>
        <v>53.16</v>
      </c>
      <c r="G127" s="6">
        <f t="shared" si="52"/>
        <v>2.3350780018388428E-2</v>
      </c>
      <c r="H127" s="5">
        <f t="shared" si="53"/>
        <v>61.15</v>
      </c>
      <c r="I127" s="5">
        <f t="shared" si="59"/>
        <v>0</v>
      </c>
      <c r="J127" s="58">
        <f t="shared" si="60"/>
        <v>0.15030097817908206</v>
      </c>
      <c r="K127" s="107">
        <f t="shared" si="54"/>
        <v>15</v>
      </c>
      <c r="L127" s="65">
        <f t="shared" si="55"/>
        <v>42.989203861781526</v>
      </c>
      <c r="M127" s="4">
        <f t="shared" si="61"/>
        <v>917.25</v>
      </c>
      <c r="N127" s="39">
        <f t="shared" si="80"/>
        <v>2.0606557739945557E-2</v>
      </c>
      <c r="O127" s="40">
        <f t="shared" si="57"/>
        <v>2.7589199159291228E-4</v>
      </c>
      <c r="P127" s="21"/>
    </row>
    <row r="128" spans="2:16" ht="15.5" outlineLevel="1" thickTop="1" thickBot="1" x14ac:dyDescent="0.4">
      <c r="B128" s="3" t="str">
        <f t="shared" ref="B128:C128" si="91">B37</f>
        <v>Q</v>
      </c>
      <c r="C128" s="37" t="str">
        <f t="shared" si="91"/>
        <v>Qualitas Controladora S.A.B de C.V.</v>
      </c>
      <c r="D128" s="94">
        <v>3</v>
      </c>
      <c r="E128" s="95">
        <v>80.587902069091797</v>
      </c>
      <c r="F128" s="5">
        <f t="shared" si="51"/>
        <v>168.47</v>
      </c>
      <c r="G128" s="6">
        <f t="shared" si="52"/>
        <v>1.2333539972717264E-2</v>
      </c>
      <c r="H128" s="5">
        <f t="shared" si="53"/>
        <v>174.21</v>
      </c>
      <c r="I128" s="5">
        <f t="shared" si="59"/>
        <v>15</v>
      </c>
      <c r="J128" s="58">
        <f t="shared" si="60"/>
        <v>6.375022259155938E-2</v>
      </c>
      <c r="K128" s="107">
        <f t="shared" si="54"/>
        <v>9</v>
      </c>
      <c r="L128" s="65">
        <f t="shared" si="55"/>
        <v>143.00263402303059</v>
      </c>
      <c r="M128" s="4">
        <f t="shared" si="61"/>
        <v>1567.89</v>
      </c>
      <c r="N128" s="39">
        <f t="shared" si="80"/>
        <v>3.52235658924865E-2</v>
      </c>
      <c r="O128" s="40">
        <f t="shared" si="57"/>
        <v>4.7159258075618604E-4</v>
      </c>
      <c r="P128" s="21"/>
    </row>
    <row r="129" spans="2:16" ht="15.5" outlineLevel="1" thickTop="1" thickBot="1" x14ac:dyDescent="0.4">
      <c r="B129" s="3" t="str">
        <f t="shared" ref="B129:C129" si="92">B38</f>
        <v>RA</v>
      </c>
      <c r="C129" s="37" t="str">
        <f t="shared" si="92"/>
        <v>Regional, S.A. de C.V.</v>
      </c>
      <c r="D129" s="94">
        <v>7</v>
      </c>
      <c r="E129" s="95">
        <v>102.58259364536831</v>
      </c>
      <c r="F129" s="5">
        <f t="shared" si="51"/>
        <v>138.31</v>
      </c>
      <c r="G129" s="6">
        <f t="shared" si="52"/>
        <v>2.3626290329407166E-2</v>
      </c>
      <c r="H129" s="5">
        <f t="shared" si="53"/>
        <v>147.19999999999999</v>
      </c>
      <c r="I129" s="5">
        <f t="shared" si="59"/>
        <v>58.449999999999996</v>
      </c>
      <c r="J129" s="58">
        <f t="shared" si="60"/>
        <v>0.12464753090882796</v>
      </c>
      <c r="K129" s="107">
        <f t="shared" si="54"/>
        <v>10</v>
      </c>
      <c r="L129" s="65">
        <f t="shared" si="55"/>
        <v>115.96781555175781</v>
      </c>
      <c r="M129" s="4">
        <f t="shared" si="61"/>
        <v>1472</v>
      </c>
      <c r="N129" s="39">
        <f t="shared" si="80"/>
        <v>3.3069340957426939E-2</v>
      </c>
      <c r="O129" s="40">
        <f t="shared" si="57"/>
        <v>4.4275062591961345E-4</v>
      </c>
      <c r="P129" s="21"/>
    </row>
    <row r="130" spans="2:16" ht="15.5" outlineLevel="1" thickTop="1" thickBot="1" x14ac:dyDescent="0.4">
      <c r="B130" s="3" t="str">
        <f t="shared" ref="B130:C130" si="93">B39</f>
        <v>GENTERA</v>
      </c>
      <c r="C130" s="37" t="str">
        <f t="shared" si="93"/>
        <v>Gentera SAB de CV</v>
      </c>
      <c r="D130" s="94">
        <v>56</v>
      </c>
      <c r="E130" s="95">
        <v>19.186742407935007</v>
      </c>
      <c r="F130" s="5">
        <f t="shared" si="51"/>
        <v>44.2</v>
      </c>
      <c r="G130" s="6">
        <f t="shared" si="52"/>
        <v>6.0402402288181431E-2</v>
      </c>
      <c r="H130" s="5">
        <f t="shared" si="53"/>
        <v>45.76</v>
      </c>
      <c r="I130" s="5">
        <f t="shared" si="59"/>
        <v>100.84312</v>
      </c>
      <c r="J130" s="58">
        <f t="shared" si="60"/>
        <v>7.6035520361990905E-2</v>
      </c>
      <c r="K130" s="107">
        <f t="shared" si="54"/>
        <v>16</v>
      </c>
      <c r="L130" s="65">
        <f t="shared" si="55"/>
        <v>19.186742407935007</v>
      </c>
      <c r="M130" s="4">
        <f t="shared" si="61"/>
        <v>732.16</v>
      </c>
      <c r="N130" s="39">
        <f t="shared" si="80"/>
        <v>1.6448402632737572E-2</v>
      </c>
      <c r="O130" s="40">
        <f t="shared" si="57"/>
        <v>-7.9404108376119123E-4</v>
      </c>
      <c r="P130" s="21"/>
    </row>
    <row r="131" spans="2:16" ht="15.5" outlineLevel="1" thickTop="1" thickBot="1" x14ac:dyDescent="0.4">
      <c r="B131" s="3" t="str">
        <f t="shared" ref="B131:C131" si="94">B40</f>
        <v>CHDRAUIB</v>
      </c>
      <c r="C131" s="37" t="str">
        <f t="shared" si="94"/>
        <v>Grupo Comercial Chedraui SA de CV</v>
      </c>
      <c r="D131" s="94">
        <v>4</v>
      </c>
      <c r="E131" s="95">
        <v>104.04530334472661</v>
      </c>
      <c r="F131" s="5">
        <f t="shared" si="51"/>
        <v>134.71</v>
      </c>
      <c r="G131" s="6">
        <f t="shared" si="52"/>
        <v>1.3149333568585844E-2</v>
      </c>
      <c r="H131" s="5">
        <f t="shared" si="53"/>
        <v>102.29</v>
      </c>
      <c r="I131" s="5">
        <f t="shared" si="59"/>
        <v>8.7984000000000009</v>
      </c>
      <c r="J131" s="58">
        <f t="shared" si="60"/>
        <v>-0.22433672333160115</v>
      </c>
      <c r="K131" s="107">
        <f t="shared" si="54"/>
        <v>5</v>
      </c>
      <c r="L131" s="65">
        <f t="shared" si="55"/>
        <v>103.69424267578128</v>
      </c>
      <c r="M131" s="4">
        <f t="shared" si="61"/>
        <v>511.45000000000005</v>
      </c>
      <c r="N131" s="39">
        <f t="shared" si="80"/>
        <v>1.1490023391763592E-2</v>
      </c>
      <c r="O131" s="40">
        <f t="shared" si="57"/>
        <v>1.5383478778979894E-4</v>
      </c>
      <c r="P131" s="21"/>
    </row>
    <row r="132" spans="2:16" ht="15.5" outlineLevel="1" thickTop="1" thickBot="1" x14ac:dyDescent="0.4">
      <c r="B132" s="3" t="str">
        <f t="shared" ref="B132:C132" si="95">B41</f>
        <v>LACOMERUBC</v>
      </c>
      <c r="C132" s="37" t="str">
        <f t="shared" si="95"/>
        <v>La Comer, S.A.B. de C.V.</v>
      </c>
      <c r="D132" s="94">
        <v>5</v>
      </c>
      <c r="E132" s="95">
        <v>36.380001</v>
      </c>
      <c r="F132" s="5">
        <f t="shared" si="51"/>
        <v>40.229999999999997</v>
      </c>
      <c r="G132" s="6">
        <f t="shared" si="52"/>
        <v>4.908671307477251E-3</v>
      </c>
      <c r="H132" s="5">
        <f t="shared" si="53"/>
        <v>39.700000000000003</v>
      </c>
      <c r="I132" s="5">
        <f t="shared" si="59"/>
        <v>1.381</v>
      </c>
      <c r="J132" s="58">
        <f t="shared" si="60"/>
        <v>-6.3087248322145628E-3</v>
      </c>
      <c r="K132" s="107">
        <f t="shared" ref="K132:K136" si="96">D132+D176</f>
        <v>21</v>
      </c>
      <c r="L132" s="65">
        <f t="shared" ref="L132:L136" si="97">IF(K132&gt;0,IF(K132&gt;D132,(D132*E132+(K132-D132)*E176)/K132,E132),0)</f>
        <v>38.909524047619051</v>
      </c>
      <c r="M132" s="4">
        <f t="shared" ref="M132:M136" si="98">K132*H132</f>
        <v>833.7</v>
      </c>
      <c r="N132" s="39">
        <f t="shared" ref="N132:N136" si="99">M132/$M$139</f>
        <v>1.8729558122423124E-2</v>
      </c>
      <c r="O132" s="40">
        <f t="shared" ref="O132:O136" si="100">N132-N41</f>
        <v>-6.2918100498074794E-4</v>
      </c>
      <c r="P132" s="21"/>
    </row>
    <row r="133" spans="2:16" ht="15.5" outlineLevel="1" thickTop="1" thickBot="1" x14ac:dyDescent="0.4">
      <c r="B133" s="3" t="str">
        <f t="shared" ref="B133:C133" si="101">B42</f>
        <v>VOLARA</v>
      </c>
      <c r="C133" s="37" t="str">
        <f t="shared" si="101"/>
        <v>Controladora Vuela Compania de Aviacion SAB de CV</v>
      </c>
      <c r="D133" s="94">
        <v>0</v>
      </c>
      <c r="E133" s="124">
        <v>0</v>
      </c>
      <c r="F133" s="5">
        <f t="shared" ref="F133:F136" si="102">F42</f>
        <v>0</v>
      </c>
      <c r="G133" s="6">
        <f t="shared" ref="G133:G136" si="103">D133*F133/$F$139</f>
        <v>0</v>
      </c>
      <c r="H133" s="5">
        <f t="shared" ref="H133:H136" si="104">H42</f>
        <v>13.06</v>
      </c>
      <c r="I133" s="5">
        <f t="shared" si="59"/>
        <v>0</v>
      </c>
      <c r="J133" s="58" t="e">
        <f t="shared" si="60"/>
        <v>#DIV/0!</v>
      </c>
      <c r="K133" s="107">
        <f t="shared" si="96"/>
        <v>139</v>
      </c>
      <c r="L133" s="65">
        <f t="shared" si="97"/>
        <v>13.06</v>
      </c>
      <c r="M133" s="4">
        <f t="shared" si="98"/>
        <v>1815.3400000000001</v>
      </c>
      <c r="N133" s="39">
        <f t="shared" si="99"/>
        <v>4.0782674873407219E-2</v>
      </c>
      <c r="O133" s="40">
        <f t="shared" si="100"/>
        <v>-9.0134064360768845E-4</v>
      </c>
      <c r="P133" s="21"/>
    </row>
    <row r="134" spans="2:16" ht="15.5" outlineLevel="1" thickTop="1" thickBot="1" x14ac:dyDescent="0.4">
      <c r="B134" s="3">
        <f t="shared" ref="B134:C134" si="105">B43</f>
        <v>0</v>
      </c>
      <c r="C134" s="37">
        <f t="shared" si="105"/>
        <v>0</v>
      </c>
      <c r="D134" s="94">
        <v>0</v>
      </c>
      <c r="E134" s="124">
        <v>0</v>
      </c>
      <c r="F134" s="5">
        <f t="shared" si="102"/>
        <v>0</v>
      </c>
      <c r="G134" s="6">
        <f t="shared" si="103"/>
        <v>0</v>
      </c>
      <c r="H134" s="5">
        <f t="shared" si="104"/>
        <v>0</v>
      </c>
      <c r="I134" s="5">
        <f t="shared" si="59"/>
        <v>0</v>
      </c>
      <c r="J134" s="58" t="e">
        <f t="shared" si="60"/>
        <v>#DIV/0!</v>
      </c>
      <c r="K134" s="107">
        <f t="shared" si="96"/>
        <v>0</v>
      </c>
      <c r="L134" s="65">
        <f t="shared" si="97"/>
        <v>0</v>
      </c>
      <c r="M134" s="4">
        <f t="shared" si="98"/>
        <v>0</v>
      </c>
      <c r="N134" s="39">
        <f t="shared" si="99"/>
        <v>0</v>
      </c>
      <c r="O134" s="40">
        <f t="shared" si="100"/>
        <v>0</v>
      </c>
      <c r="P134" s="21"/>
    </row>
    <row r="135" spans="2:16" ht="15.5" outlineLevel="1" thickTop="1" thickBot="1" x14ac:dyDescent="0.4">
      <c r="B135" s="3">
        <f t="shared" ref="B135:C135" si="106">B44</f>
        <v>0</v>
      </c>
      <c r="C135" s="37">
        <f t="shared" si="106"/>
        <v>0</v>
      </c>
      <c r="D135" s="94">
        <v>0</v>
      </c>
      <c r="E135" s="124">
        <v>0</v>
      </c>
      <c r="F135" s="5">
        <f t="shared" si="102"/>
        <v>0</v>
      </c>
      <c r="G135" s="6">
        <f t="shared" si="103"/>
        <v>0</v>
      </c>
      <c r="H135" s="5">
        <f t="shared" si="104"/>
        <v>0</v>
      </c>
      <c r="I135" s="5">
        <f t="shared" si="59"/>
        <v>0</v>
      </c>
      <c r="J135" s="58" t="e">
        <f t="shared" si="60"/>
        <v>#DIV/0!</v>
      </c>
      <c r="K135" s="107">
        <f t="shared" si="96"/>
        <v>0</v>
      </c>
      <c r="L135" s="65">
        <f t="shared" si="97"/>
        <v>0</v>
      </c>
      <c r="M135" s="4">
        <f t="shared" si="98"/>
        <v>0</v>
      </c>
      <c r="N135" s="39">
        <f t="shared" si="99"/>
        <v>0</v>
      </c>
      <c r="O135" s="40">
        <f t="shared" si="100"/>
        <v>0</v>
      </c>
      <c r="P135" s="21"/>
    </row>
    <row r="136" spans="2:16" ht="15.5" outlineLevel="1" thickTop="1" thickBot="1" x14ac:dyDescent="0.4">
      <c r="B136" s="3">
        <f t="shared" ref="B136:C136" si="107">B45</f>
        <v>0</v>
      </c>
      <c r="C136" s="37">
        <f t="shared" si="107"/>
        <v>0</v>
      </c>
      <c r="D136" s="94">
        <v>0</v>
      </c>
      <c r="E136" s="124">
        <v>0</v>
      </c>
      <c r="F136" s="5">
        <f t="shared" si="102"/>
        <v>0</v>
      </c>
      <c r="G136" s="6">
        <f t="shared" si="103"/>
        <v>0</v>
      </c>
      <c r="H136" s="5">
        <f t="shared" si="104"/>
        <v>0</v>
      </c>
      <c r="I136" s="5">
        <f t="shared" si="59"/>
        <v>0</v>
      </c>
      <c r="J136" s="58" t="e">
        <f t="shared" si="60"/>
        <v>#DIV/0!</v>
      </c>
      <c r="K136" s="107">
        <f t="shared" si="96"/>
        <v>0</v>
      </c>
      <c r="L136" s="65">
        <f t="shared" si="97"/>
        <v>0</v>
      </c>
      <c r="M136" s="4">
        <f t="shared" si="98"/>
        <v>0</v>
      </c>
      <c r="N136" s="39">
        <f t="shared" si="99"/>
        <v>0</v>
      </c>
      <c r="O136" s="40">
        <f t="shared" si="100"/>
        <v>0</v>
      </c>
      <c r="P136" s="21"/>
    </row>
    <row r="137" spans="2:16" ht="15.5" outlineLevel="1" thickTop="1" thickBot="1" x14ac:dyDescent="0.4">
      <c r="B137" s="3" t="s">
        <v>7</v>
      </c>
      <c r="C137" s="37"/>
      <c r="D137" s="100">
        <v>278.95261303774896</v>
      </c>
      <c r="E137" s="61"/>
      <c r="F137" s="42"/>
      <c r="G137" s="60">
        <f>D137/$F$139</f>
        <v>6.8072915126234307E-3</v>
      </c>
      <c r="H137" s="42">
        <f>D137*(1+H2)^(180/360)</f>
        <v>278.95261303774896</v>
      </c>
      <c r="I137" s="59"/>
      <c r="J137" s="135">
        <f>H137/D137-1</f>
        <v>0</v>
      </c>
      <c r="K137" s="43">
        <f>H137+I139-SUMPRODUCT(D142:D180,E142:E180)</f>
        <v>624.20904903774863</v>
      </c>
      <c r="L137" s="57"/>
      <c r="M137" s="44">
        <f>K137</f>
        <v>624.20904903774863</v>
      </c>
      <c r="N137" s="45">
        <f>M137/$M$139</f>
        <v>1.4023221379986781E-2</v>
      </c>
      <c r="O137" s="40">
        <f t="shared" ref="O137" si="108">N137-N46</f>
        <v>4.5088753561916984E-3</v>
      </c>
      <c r="P137" s="21"/>
    </row>
    <row r="138" spans="2:16" ht="15.5" outlineLevel="1" thickTop="1" thickBot="1" x14ac:dyDescent="0.4">
      <c r="B138" s="21"/>
      <c r="C138" s="21"/>
      <c r="D138" s="46"/>
      <c r="E138" s="46"/>
      <c r="F138" s="47"/>
      <c r="G138" s="47"/>
      <c r="H138" s="48"/>
      <c r="I138" s="48"/>
      <c r="J138" s="48"/>
      <c r="K138" s="46"/>
      <c r="L138" s="46"/>
      <c r="M138" s="47"/>
      <c r="N138" s="48"/>
    </row>
    <row r="139" spans="2:16" ht="15.5" outlineLevel="1" thickTop="1" thickBot="1" x14ac:dyDescent="0.4">
      <c r="B139" s="10" t="s">
        <v>10</v>
      </c>
      <c r="C139" s="10"/>
      <c r="D139" s="10"/>
      <c r="E139" s="50"/>
      <c r="F139" s="11">
        <f>SUMPRODUCT(D98:D132,F98:F132)+D137</f>
        <v>40978.502613037752</v>
      </c>
      <c r="G139" s="12">
        <f>SUM(G98:G137)</f>
        <v>0.99999999999999989</v>
      </c>
      <c r="H139" s="50">
        <f>SUMPRODUCT(D98:D132,H98:H132)+H137</f>
        <v>43949.162613037755</v>
      </c>
      <c r="I139" s="50">
        <f>SUM(I98:I137)</f>
        <v>563.36643600000002</v>
      </c>
      <c r="J139" s="14">
        <f>(H139+I139)/F139-1</f>
        <v>8.6240985166588624E-2</v>
      </c>
      <c r="K139" s="106" t="s">
        <v>119</v>
      </c>
      <c r="L139" s="49"/>
      <c r="M139" s="50">
        <f>SUM(M98:M137)</f>
        <v>44512.529049037737</v>
      </c>
      <c r="N139" s="49">
        <f>SUM(N98:N137)</f>
        <v>1.0000000000000002</v>
      </c>
      <c r="O139" s="13">
        <f t="array" ref="O139">SUM(ABS(O98:O137))</f>
        <v>2.3121902760895346E-2</v>
      </c>
      <c r="P139" s="25" t="str">
        <f>IF(O139&lt;0.1,"Excelente",IF(AND(O139&lt;=0.2,O139&gt;=0.1),"Buena",IF(AND(O139&lt;=0.35,O139&gt;0.2),"Regular","Mala")))</f>
        <v>Excelente</v>
      </c>
    </row>
    <row r="140" spans="2:16" ht="26" customHeight="1" outlineLevel="1" thickTop="1" thickBot="1" x14ac:dyDescent="0.4">
      <c r="B140" s="51"/>
      <c r="C140" s="51"/>
      <c r="D140" s="51"/>
      <c r="E140" s="51"/>
      <c r="F140" s="52"/>
      <c r="G140" s="92"/>
      <c r="H140" s="53"/>
      <c r="I140" s="53"/>
      <c r="J140" s="14">
        <f>LN((H139+I139)/F139)</f>
        <v>8.2723098521912314E-2</v>
      </c>
      <c r="K140" s="23" t="s">
        <v>118</v>
      </c>
      <c r="L140" s="53"/>
      <c r="M140" s="54"/>
      <c r="N140" s="53"/>
      <c r="O140" s="150" t="s">
        <v>14</v>
      </c>
      <c r="P140" s="151"/>
    </row>
    <row r="141" spans="2:16" ht="15.5" outlineLevel="1" thickTop="1" thickBot="1" x14ac:dyDescent="0.4">
      <c r="B141" s="55" t="str">
        <f>B50</f>
        <v>Movimientos 30-04-2026 (precios MXN cierre):</v>
      </c>
      <c r="C141" s="21"/>
      <c r="D141" s="67" t="s">
        <v>26</v>
      </c>
      <c r="E141" s="68" t="s">
        <v>25</v>
      </c>
      <c r="H141" s="21"/>
      <c r="I141" s="21"/>
      <c r="J141" s="21"/>
      <c r="K141" s="21"/>
      <c r="L141" s="21"/>
      <c r="M141" s="21"/>
      <c r="N141" s="21"/>
      <c r="O141" s="21"/>
    </row>
    <row r="142" spans="2:16" ht="15.5" outlineLevel="1" thickTop="1" thickBot="1" x14ac:dyDescent="0.4">
      <c r="B142" s="3" t="str">
        <f>B51</f>
        <v>GAPB</v>
      </c>
      <c r="C142" s="3" t="str">
        <f>C51</f>
        <v>Grupo Aeroportuario del Pacifico, S.A.B. de C.V.</v>
      </c>
      <c r="D142" s="69">
        <f>IFERROR(ROUND(N7*(($H$139+$I$139)*0.98)/E142,0)-D98,0)</f>
        <v>-4</v>
      </c>
      <c r="E142" s="96">
        <f t="shared" ref="E142:E175" si="109">H98</f>
        <v>438.21</v>
      </c>
      <c r="H142" s="21"/>
      <c r="I142" s="70"/>
      <c r="J142" s="21"/>
      <c r="K142" s="21"/>
      <c r="L142" s="21"/>
      <c r="M142" s="21"/>
      <c r="N142" s="155"/>
      <c r="O142" s="155"/>
    </row>
    <row r="143" spans="2:16" ht="15.5" outlineLevel="1" thickTop="1" thickBot="1" x14ac:dyDescent="0.4">
      <c r="B143" s="3" t="str">
        <f t="shared" ref="B143:C143" si="110">B52</f>
        <v>SIGMAFA</v>
      </c>
      <c r="C143" s="3" t="str">
        <f t="shared" si="110"/>
        <v>Sigma Foods SAB de CV</v>
      </c>
      <c r="D143" s="69">
        <f t="shared" ref="D143:D180" si="111">IFERROR(ROUND(N8*(($H$139+$I$139)*0.98)/E143,0)-D99,0)</f>
        <v>-14</v>
      </c>
      <c r="E143" s="96">
        <f t="shared" si="109"/>
        <v>16.55</v>
      </c>
      <c r="H143" s="21"/>
      <c r="I143" s="70"/>
      <c r="J143" s="21"/>
      <c r="K143" s="21"/>
      <c r="L143" s="21"/>
      <c r="M143" s="21"/>
      <c r="N143" s="21"/>
      <c r="O143" s="21"/>
    </row>
    <row r="144" spans="2:16" ht="15.5" outlineLevel="1" thickTop="1" thickBot="1" x14ac:dyDescent="0.4">
      <c r="B144" s="3" t="str">
        <f t="shared" ref="B144:C144" si="112">B53</f>
        <v>WALMEX</v>
      </c>
      <c r="C144" s="3" t="str">
        <f t="shared" si="112"/>
        <v>Walmart de Mexico SAB de CV</v>
      </c>
      <c r="D144" s="69">
        <f t="shared" si="111"/>
        <v>2</v>
      </c>
      <c r="E144" s="96">
        <f t="shared" si="109"/>
        <v>55.07</v>
      </c>
      <c r="H144" s="21"/>
      <c r="I144" s="70"/>
      <c r="J144" s="21"/>
      <c r="K144" s="21"/>
      <c r="L144" s="21"/>
      <c r="M144" s="21"/>
      <c r="N144" s="21"/>
      <c r="O144" s="21"/>
    </row>
    <row r="145" spans="2:15" ht="15.5" outlineLevel="1" thickTop="1" thickBot="1" x14ac:dyDescent="0.4">
      <c r="B145" s="3" t="str">
        <f t="shared" ref="B145:C145" si="113">B54</f>
        <v>ORBIA</v>
      </c>
      <c r="C145" s="3" t="str">
        <f t="shared" si="113"/>
        <v>ORBIA ADVANCE CORPORATION SAB de CV</v>
      </c>
      <c r="D145" s="69">
        <f t="shared" si="111"/>
        <v>34</v>
      </c>
      <c r="E145" s="96">
        <f t="shared" si="109"/>
        <v>20.91</v>
      </c>
      <c r="H145" s="21"/>
      <c r="I145" s="70"/>
      <c r="J145" s="21"/>
      <c r="K145" s="21"/>
      <c r="L145" s="21"/>
      <c r="M145" s="21"/>
      <c r="N145" s="21"/>
      <c r="O145" s="21"/>
    </row>
    <row r="146" spans="2:15" ht="15.5" outlineLevel="1" thickTop="1" thickBot="1" x14ac:dyDescent="0.4">
      <c r="B146" s="3" t="str">
        <f t="shared" ref="B146:C146" si="114">B55</f>
        <v>OMAB</v>
      </c>
      <c r="C146" s="3" t="str">
        <f t="shared" si="114"/>
        <v>Grupo Aeroportuario del Centro Norte, S.A.B. de C.V.</v>
      </c>
      <c r="D146" s="69">
        <f t="shared" si="111"/>
        <v>-2</v>
      </c>
      <c r="E146" s="96">
        <f t="shared" si="109"/>
        <v>231.83</v>
      </c>
      <c r="H146" s="21"/>
    </row>
    <row r="147" spans="2:15" ht="15.5" outlineLevel="1" thickTop="1" thickBot="1" x14ac:dyDescent="0.4">
      <c r="B147" s="3" t="str">
        <f t="shared" ref="B147:C147" si="115">B56</f>
        <v>TLEVISACPO</v>
      </c>
      <c r="C147" s="3" t="str">
        <f t="shared" si="115"/>
        <v>Grupo Televisa SAB CPO</v>
      </c>
      <c r="D147" s="69">
        <f t="shared" si="111"/>
        <v>-96</v>
      </c>
      <c r="E147" s="96">
        <f t="shared" si="109"/>
        <v>9.9600000000000009</v>
      </c>
      <c r="H147" s="21"/>
    </row>
    <row r="148" spans="2:15" ht="15.5" outlineLevel="1" thickTop="1" thickBot="1" x14ac:dyDescent="0.4">
      <c r="B148" s="3" t="str">
        <f t="shared" ref="B148:C148" si="116">B57</f>
        <v>CEMEXCPO</v>
      </c>
      <c r="C148" s="3" t="str">
        <f t="shared" si="116"/>
        <v>Cemex SA CPO</v>
      </c>
      <c r="D148" s="69">
        <f t="shared" si="111"/>
        <v>-27</v>
      </c>
      <c r="E148" s="96">
        <f t="shared" si="109"/>
        <v>21.45</v>
      </c>
      <c r="H148" s="21"/>
    </row>
    <row r="149" spans="2:15" ht="15.5" outlineLevel="1" thickTop="1" thickBot="1" x14ac:dyDescent="0.4">
      <c r="B149" s="3" t="str">
        <f t="shared" ref="B149:C149" si="117">B58</f>
        <v>PINFRA</v>
      </c>
      <c r="C149" s="3" t="str">
        <f t="shared" si="117"/>
        <v>Promotora y Operadora de Infraestructura SAB de CV</v>
      </c>
      <c r="D149" s="69">
        <f t="shared" si="111"/>
        <v>-2</v>
      </c>
      <c r="E149" s="96">
        <f t="shared" si="109"/>
        <v>276.60000000000002</v>
      </c>
      <c r="H149" s="21"/>
    </row>
    <row r="150" spans="2:15" ht="15.5" outlineLevel="1" thickTop="1" thickBot="1" x14ac:dyDescent="0.4">
      <c r="B150" s="3" t="str">
        <f t="shared" ref="B150:C150" si="118">B59</f>
        <v>GMEXICOB</v>
      </c>
      <c r="C150" s="3" t="str">
        <f t="shared" si="118"/>
        <v>Grupo Mexico SAB de CV B</v>
      </c>
      <c r="D150" s="69">
        <f t="shared" si="111"/>
        <v>0</v>
      </c>
      <c r="E150" s="96">
        <f t="shared" si="109"/>
        <v>191.2</v>
      </c>
      <c r="H150" s="21"/>
    </row>
    <row r="151" spans="2:15" ht="15.5" outlineLevel="1" thickTop="1" thickBot="1" x14ac:dyDescent="0.4">
      <c r="B151" s="3" t="str">
        <f t="shared" ref="B151:C151" si="119">B60</f>
        <v>AC</v>
      </c>
      <c r="C151" s="3" t="str">
        <f t="shared" si="119"/>
        <v>Arca Continental, SAB de CV</v>
      </c>
      <c r="D151" s="69">
        <f t="shared" si="111"/>
        <v>2</v>
      </c>
      <c r="E151" s="96">
        <f t="shared" si="109"/>
        <v>209.87</v>
      </c>
      <c r="H151" s="21"/>
    </row>
    <row r="152" spans="2:15" ht="15.5" outlineLevel="1" thickTop="1" thickBot="1" x14ac:dyDescent="0.4">
      <c r="B152" s="3" t="str">
        <f t="shared" ref="B152:C152" si="120">B61</f>
        <v>FEMSAUBD</v>
      </c>
      <c r="C152" s="3" t="str">
        <f t="shared" si="120"/>
        <v>Fomento Economico Mexicano S.A.B. de C.V.</v>
      </c>
      <c r="D152" s="69">
        <f t="shared" si="111"/>
        <v>2</v>
      </c>
      <c r="E152" s="96">
        <f t="shared" si="109"/>
        <v>206.45</v>
      </c>
      <c r="H152" s="21"/>
    </row>
    <row r="153" spans="2:15" ht="15.5" outlineLevel="1" thickTop="1" thickBot="1" x14ac:dyDescent="0.4">
      <c r="B153" s="3" t="str">
        <f t="shared" ref="B153:C153" si="121">B62</f>
        <v>AMXB</v>
      </c>
      <c r="C153" s="3" t="str">
        <f t="shared" si="121"/>
        <v>America Movil SAB de CV B</v>
      </c>
      <c r="D153" s="69">
        <f t="shared" si="111"/>
        <v>19</v>
      </c>
      <c r="E153" s="96">
        <f t="shared" si="109"/>
        <v>23.21</v>
      </c>
      <c r="H153" s="21"/>
    </row>
    <row r="154" spans="2:15" ht="15.5" outlineLevel="1" thickTop="1" thickBot="1" x14ac:dyDescent="0.4">
      <c r="B154" s="3" t="str">
        <f t="shared" ref="B154:C154" si="122">B63</f>
        <v>KOFUBL</v>
      </c>
      <c r="C154" s="3" t="str">
        <f t="shared" si="122"/>
        <v>Coca-Cola Femsa SAB de CV UBL</v>
      </c>
      <c r="D154" s="69">
        <f t="shared" si="111"/>
        <v>1</v>
      </c>
      <c r="E154" s="96">
        <f t="shared" si="109"/>
        <v>176.96</v>
      </c>
      <c r="H154" s="21"/>
    </row>
    <row r="155" spans="2:15" ht="15.5" outlineLevel="1" thickTop="1" thickBot="1" x14ac:dyDescent="0.4">
      <c r="B155" s="3" t="str">
        <f t="shared" ref="B155:C155" si="123">B64</f>
        <v>ALSEA</v>
      </c>
      <c r="C155" s="3" t="str">
        <f t="shared" si="123"/>
        <v>Alsea SA</v>
      </c>
      <c r="D155" s="69">
        <f t="shared" si="111"/>
        <v>10</v>
      </c>
      <c r="E155" s="96">
        <f t="shared" si="109"/>
        <v>51.42</v>
      </c>
      <c r="H155" s="21"/>
    </row>
    <row r="156" spans="2:15" ht="15.5" outlineLevel="1" thickTop="1" thickBot="1" x14ac:dyDescent="0.4">
      <c r="B156" s="3" t="str">
        <f t="shared" ref="B156:C156" si="124">B65</f>
        <v>GRUMAB</v>
      </c>
      <c r="C156" s="3" t="str">
        <f t="shared" si="124"/>
        <v>Gruma SAB B</v>
      </c>
      <c r="D156" s="69">
        <f t="shared" si="111"/>
        <v>1</v>
      </c>
      <c r="E156" s="96">
        <f t="shared" si="109"/>
        <v>303.16000000000003</v>
      </c>
      <c r="H156" s="21"/>
    </row>
    <row r="157" spans="2:15" ht="15.5" outlineLevel="1" thickTop="1" thickBot="1" x14ac:dyDescent="0.4">
      <c r="B157" s="3" t="str">
        <f t="shared" ref="B157:C157" si="125">B66</f>
        <v>ASURB</v>
      </c>
      <c r="C157" s="3" t="str">
        <f t="shared" si="125"/>
        <v>Grupo Aeroportuario del Sureste SAB de CV B</v>
      </c>
      <c r="D157" s="69">
        <f t="shared" si="111"/>
        <v>-1</v>
      </c>
      <c r="E157" s="96">
        <f t="shared" si="109"/>
        <v>532.34</v>
      </c>
      <c r="H157" s="21"/>
    </row>
    <row r="158" spans="2:15" ht="15.5" outlineLevel="1" thickTop="1" thickBot="1" x14ac:dyDescent="0.4">
      <c r="B158" s="3" t="str">
        <f t="shared" ref="B158:C158" si="126">B67</f>
        <v>BIMBOA</v>
      </c>
      <c r="C158" s="3" t="str">
        <f t="shared" si="126"/>
        <v>Grupo Bimbo S.A.B.</v>
      </c>
      <c r="D158" s="69">
        <f t="shared" si="111"/>
        <v>10</v>
      </c>
      <c r="E158" s="96">
        <f t="shared" si="109"/>
        <v>59.48</v>
      </c>
      <c r="H158" s="21"/>
    </row>
    <row r="159" spans="2:15" ht="15.5" outlineLevel="1" thickTop="1" thickBot="1" x14ac:dyDescent="0.4">
      <c r="B159" s="3" t="str">
        <f t="shared" ref="B159:C159" si="127">B68</f>
        <v>PE&amp;OLES</v>
      </c>
      <c r="C159" s="3" t="str">
        <f t="shared" si="127"/>
        <v>Industrias Penoles</v>
      </c>
      <c r="D159" s="69">
        <f t="shared" si="111"/>
        <v>-4</v>
      </c>
      <c r="E159" s="96">
        <f t="shared" si="109"/>
        <v>880.7</v>
      </c>
      <c r="H159" s="21"/>
    </row>
    <row r="160" spans="2:15" ht="15.5" outlineLevel="1" thickTop="1" thickBot="1" x14ac:dyDescent="0.4">
      <c r="B160" s="3" t="str">
        <f t="shared" ref="B160:C160" si="128">B69</f>
        <v>BBAJIOO</v>
      </c>
      <c r="C160" s="3" t="str">
        <f t="shared" si="128"/>
        <v>Banco del Bajio, S.A.</v>
      </c>
      <c r="D160" s="69">
        <f t="shared" si="111"/>
        <v>10</v>
      </c>
      <c r="E160" s="96">
        <f t="shared" si="109"/>
        <v>54.68</v>
      </c>
      <c r="H160" s="21"/>
    </row>
    <row r="161" spans="2:5" ht="15.5" outlineLevel="1" thickTop="1" thickBot="1" x14ac:dyDescent="0.4">
      <c r="B161" s="3" t="str">
        <f t="shared" ref="B161:C161" si="129">B70</f>
        <v>CUERVO</v>
      </c>
      <c r="C161" s="3" t="str">
        <f t="shared" si="129"/>
        <v>Becle, S.A. De C.V.</v>
      </c>
      <c r="D161" s="69">
        <f t="shared" si="111"/>
        <v>-12</v>
      </c>
      <c r="E161" s="96">
        <f t="shared" si="109"/>
        <v>14.07</v>
      </c>
    </row>
    <row r="162" spans="2:5" ht="15.5" outlineLevel="1" thickTop="1" thickBot="1" x14ac:dyDescent="0.4">
      <c r="B162" s="3" t="str">
        <f t="shared" ref="B162:C162" si="130">B71</f>
        <v>BOLSAA</v>
      </c>
      <c r="C162" s="3" t="str">
        <f t="shared" si="130"/>
        <v>Bolsa Mexicana de Valores SA de CV</v>
      </c>
      <c r="D162" s="69">
        <f t="shared" si="111"/>
        <v>6</v>
      </c>
      <c r="E162" s="96">
        <f t="shared" si="109"/>
        <v>39.35</v>
      </c>
    </row>
    <row r="163" spans="2:5" ht="15.5" outlineLevel="1" thickTop="1" thickBot="1" x14ac:dyDescent="0.4">
      <c r="B163" s="3" t="str">
        <f t="shared" ref="B163:C163" si="131">B72</f>
        <v>VESTA</v>
      </c>
      <c r="C163" s="3" t="str">
        <f t="shared" si="131"/>
        <v>Corporacion Inmobiliaria Vesta, S.A.B. DE C.V.</v>
      </c>
      <c r="D163" s="69">
        <f t="shared" si="111"/>
        <v>0</v>
      </c>
      <c r="E163" s="96">
        <f t="shared" si="109"/>
        <v>62.18</v>
      </c>
    </row>
    <row r="164" spans="2:5" ht="15.5" outlineLevel="1" thickTop="1" thickBot="1" x14ac:dyDescent="0.4">
      <c r="B164" s="3" t="str">
        <f t="shared" ref="B164:C164" si="132">B73</f>
        <v>LIVEPOLC-1</v>
      </c>
      <c r="C164" s="3" t="str">
        <f t="shared" si="132"/>
        <v>El Puerto de Liverpool SAB de CV</v>
      </c>
      <c r="D164" s="69">
        <f t="shared" si="111"/>
        <v>8</v>
      </c>
      <c r="E164" s="96">
        <f t="shared" si="109"/>
        <v>103.44</v>
      </c>
    </row>
    <row r="165" spans="2:5" ht="15.5" outlineLevel="1" thickTop="1" thickBot="1" x14ac:dyDescent="0.4">
      <c r="B165" s="3" t="str">
        <f t="shared" ref="B165:C165" si="133">B74</f>
        <v>LABB</v>
      </c>
      <c r="C165" s="3" t="str">
        <f t="shared" si="133"/>
        <v>Genomma Lab Internacional SA de CV</v>
      </c>
      <c r="D165" s="69">
        <f t="shared" si="111"/>
        <v>37</v>
      </c>
      <c r="E165" s="96">
        <f t="shared" si="109"/>
        <v>16.48</v>
      </c>
    </row>
    <row r="166" spans="2:5" ht="15.5" outlineLevel="1" thickTop="1" thickBot="1" x14ac:dyDescent="0.4">
      <c r="B166" s="3" t="str">
        <f t="shared" ref="B166:C166" si="134">B75</f>
        <v>GCARSOA1</v>
      </c>
      <c r="C166" s="3" t="str">
        <f t="shared" si="134"/>
        <v>Grupo Carso SAB de CV</v>
      </c>
      <c r="D166" s="69">
        <f t="shared" si="111"/>
        <v>-1</v>
      </c>
      <c r="E166" s="96">
        <f t="shared" si="109"/>
        <v>132.81</v>
      </c>
    </row>
    <row r="167" spans="2:5" ht="15.5" outlineLevel="1" thickTop="1" thickBot="1" x14ac:dyDescent="0.4">
      <c r="B167" s="3" t="str">
        <f t="shared" ref="B167:C167" si="135">B76</f>
        <v>GCC</v>
      </c>
      <c r="C167" s="3" t="str">
        <f t="shared" si="135"/>
        <v>Grupo Cementos de Chihuahua SAB de CV</v>
      </c>
      <c r="D167" s="69">
        <f t="shared" si="111"/>
        <v>1</v>
      </c>
      <c r="E167" s="96">
        <f t="shared" si="109"/>
        <v>206.4</v>
      </c>
    </row>
    <row r="168" spans="2:5" ht="15.5" outlineLevel="1" thickTop="1" thickBot="1" x14ac:dyDescent="0.4">
      <c r="B168" s="3" t="str">
        <f t="shared" ref="B168:C168" si="136">B77</f>
        <v>GFNORTEO</v>
      </c>
      <c r="C168" s="3" t="str">
        <f t="shared" si="136"/>
        <v>Grupo Financiero Banorte O</v>
      </c>
      <c r="D168" s="69">
        <f t="shared" si="111"/>
        <v>2</v>
      </c>
      <c r="E168" s="96">
        <f t="shared" si="109"/>
        <v>189.68</v>
      </c>
    </row>
    <row r="169" spans="2:5" ht="15.5" outlineLevel="1" thickTop="1" thickBot="1" x14ac:dyDescent="0.4">
      <c r="B169" s="3" t="str">
        <f t="shared" ref="B169:C169" si="137">B78</f>
        <v>GFINBURO</v>
      </c>
      <c r="C169" s="3" t="str">
        <f t="shared" si="137"/>
        <v>Grupo Financiero Inbursa O</v>
      </c>
      <c r="D169" s="69">
        <f t="shared" si="111"/>
        <v>1</v>
      </c>
      <c r="E169" s="96">
        <f t="shared" si="109"/>
        <v>43</v>
      </c>
    </row>
    <row r="170" spans="2:5" ht="15.5" outlineLevel="1" thickTop="1" thickBot="1" x14ac:dyDescent="0.4">
      <c r="B170" s="3" t="str">
        <f t="shared" ref="B170:C170" si="138">B79</f>
        <v>KIMBERA</v>
      </c>
      <c r="C170" s="3" t="str">
        <f t="shared" si="138"/>
        <v>Kimberly Clark de Mexico S.A.B. de C.V. A</v>
      </c>
      <c r="D170" s="69">
        <f t="shared" si="111"/>
        <v>14</v>
      </c>
      <c r="E170" s="96">
        <f t="shared" si="109"/>
        <v>39.5</v>
      </c>
    </row>
    <row r="171" spans="2:5" ht="15.5" outlineLevel="1" thickTop="1" thickBot="1" x14ac:dyDescent="0.4">
      <c r="B171" s="3" t="str">
        <f t="shared" ref="B171:C171" si="139">B80</f>
        <v>MEGACPO</v>
      </c>
      <c r="C171" s="3" t="str">
        <f t="shared" si="139"/>
        <v>Megacable Holdings SAB de CV</v>
      </c>
      <c r="D171" s="69">
        <f t="shared" si="111"/>
        <v>-3</v>
      </c>
      <c r="E171" s="96">
        <f t="shared" si="109"/>
        <v>61.15</v>
      </c>
    </row>
    <row r="172" spans="2:5" ht="15.5" outlineLevel="1" thickTop="1" thickBot="1" x14ac:dyDescent="0.4">
      <c r="B172" s="3" t="str">
        <f t="shared" ref="B172:C172" si="140">B81</f>
        <v>Q</v>
      </c>
      <c r="C172" s="3" t="str">
        <f t="shared" si="140"/>
        <v>Qualitas Controladora S.A.B de C.V.</v>
      </c>
      <c r="D172" s="69">
        <f t="shared" si="111"/>
        <v>6</v>
      </c>
      <c r="E172" s="96">
        <f t="shared" si="109"/>
        <v>174.21</v>
      </c>
    </row>
    <row r="173" spans="2:5" ht="15.5" outlineLevel="1" thickTop="1" thickBot="1" x14ac:dyDescent="0.4">
      <c r="B173" s="3" t="str">
        <f t="shared" ref="B173:C173" si="141">B82</f>
        <v>RA</v>
      </c>
      <c r="C173" s="3" t="str">
        <f t="shared" si="141"/>
        <v>Regional, S.A. de C.V.</v>
      </c>
      <c r="D173" s="69">
        <f t="shared" si="111"/>
        <v>3</v>
      </c>
      <c r="E173" s="96">
        <f t="shared" si="109"/>
        <v>147.19999999999999</v>
      </c>
    </row>
    <row r="174" spans="2:5" ht="15.5" outlineLevel="1" thickTop="1" thickBot="1" x14ac:dyDescent="0.4">
      <c r="B174" s="3" t="str">
        <f t="shared" ref="B174:C174" si="142">B83</f>
        <v>GENTERA</v>
      </c>
      <c r="C174" s="3" t="str">
        <f t="shared" si="142"/>
        <v>Gentera SAB de CV</v>
      </c>
      <c r="D174" s="69">
        <f t="shared" si="111"/>
        <v>-40</v>
      </c>
      <c r="E174" s="96">
        <f t="shared" si="109"/>
        <v>45.76</v>
      </c>
    </row>
    <row r="175" spans="2:5" ht="15.5" outlineLevel="1" thickTop="1" thickBot="1" x14ac:dyDescent="0.4">
      <c r="B175" s="3" t="str">
        <f t="shared" ref="B175:C175" si="143">B84</f>
        <v>CHDRAUIB</v>
      </c>
      <c r="C175" s="3" t="str">
        <f t="shared" si="143"/>
        <v>Grupo Comercial Chedraui SA de CV</v>
      </c>
      <c r="D175" s="69">
        <f t="shared" si="111"/>
        <v>1</v>
      </c>
      <c r="E175" s="96">
        <f t="shared" si="109"/>
        <v>102.29</v>
      </c>
    </row>
    <row r="176" spans="2:5" ht="15.5" outlineLevel="1" thickTop="1" thickBot="1" x14ac:dyDescent="0.4">
      <c r="B176" s="3" t="str">
        <f t="shared" ref="B176:C176" si="144">B85</f>
        <v>LACOMERUBC</v>
      </c>
      <c r="C176" s="3" t="str">
        <f t="shared" si="144"/>
        <v>La Comer, S.A.B. de C.V.</v>
      </c>
      <c r="D176" s="69">
        <f t="shared" si="111"/>
        <v>16</v>
      </c>
      <c r="E176" s="96">
        <f t="shared" ref="E176:E180" si="145">H132</f>
        <v>39.700000000000003</v>
      </c>
    </row>
    <row r="177" spans="2:5" ht="15.5" outlineLevel="1" thickTop="1" thickBot="1" x14ac:dyDescent="0.4">
      <c r="B177" s="3" t="str">
        <f t="shared" ref="B177:C177" si="146">B86</f>
        <v>VOLARA</v>
      </c>
      <c r="C177" s="3" t="str">
        <f t="shared" si="146"/>
        <v>Controladora Vuela Compania de Aviacion SAB de CV</v>
      </c>
      <c r="D177" s="69">
        <f t="shared" si="111"/>
        <v>139</v>
      </c>
      <c r="E177" s="96">
        <f t="shared" si="145"/>
        <v>13.06</v>
      </c>
    </row>
    <row r="178" spans="2:5" ht="15.5" outlineLevel="1" thickTop="1" thickBot="1" x14ac:dyDescent="0.4">
      <c r="B178" s="3">
        <f t="shared" ref="B178:C178" si="147">B87</f>
        <v>0</v>
      </c>
      <c r="C178" s="3">
        <f t="shared" si="147"/>
        <v>0</v>
      </c>
      <c r="D178" s="69">
        <f t="shared" si="111"/>
        <v>0</v>
      </c>
      <c r="E178" s="96">
        <f t="shared" si="145"/>
        <v>0</v>
      </c>
    </row>
    <row r="179" spans="2:5" ht="15.5" outlineLevel="1" thickTop="1" thickBot="1" x14ac:dyDescent="0.4">
      <c r="B179" s="3">
        <f t="shared" ref="B179:C179" si="148">B88</f>
        <v>0</v>
      </c>
      <c r="C179" s="3">
        <f t="shared" si="148"/>
        <v>0</v>
      </c>
      <c r="D179" s="69">
        <f t="shared" si="111"/>
        <v>0</v>
      </c>
      <c r="E179" s="96">
        <f t="shared" si="145"/>
        <v>0</v>
      </c>
    </row>
    <row r="180" spans="2:5" ht="15.5" outlineLevel="1" thickTop="1" thickBot="1" x14ac:dyDescent="0.4">
      <c r="B180" s="3">
        <f>B89</f>
        <v>0</v>
      </c>
      <c r="C180" s="3">
        <f t="shared" ref="C180" si="149">C89</f>
        <v>0</v>
      </c>
      <c r="D180" s="69">
        <f t="shared" si="111"/>
        <v>0</v>
      </c>
      <c r="E180" s="96">
        <f t="shared" si="145"/>
        <v>0</v>
      </c>
    </row>
    <row r="181" spans="2:5" ht="15" outlineLevel="1" thickTop="1" x14ac:dyDescent="0.35"/>
  </sheetData>
  <sheetProtection algorithmName="SHA-512" hashValue="GMTShEZTx/GpB7L6/q9B3m2vWI0AbsMsCkZ95bxYi+Q7km2q/YuMJZElmj8fwDXTQpMx99Q3S2c9lQsCL5OmFw==" saltValue="hXTROlJk9R5rQZO1mbtg8w==" spinCount="100000" sheet="1" objects="1" scenarios="1" formatRows="0"/>
  <mergeCells count="13">
    <mergeCell ref="F2:G2"/>
    <mergeCell ref="K96:N96"/>
    <mergeCell ref="K5:N5"/>
    <mergeCell ref="N51:O51"/>
    <mergeCell ref="B2:C2"/>
    <mergeCell ref="D5:J5"/>
    <mergeCell ref="B3:C3"/>
    <mergeCell ref="N142:O142"/>
    <mergeCell ref="B93:K94"/>
    <mergeCell ref="O140:P140"/>
    <mergeCell ref="D96:J96"/>
    <mergeCell ref="B92:D92"/>
    <mergeCell ref="B96:C96"/>
  </mergeCells>
  <conditionalFormatting sqref="J7:J45 J98:J136">
    <cfRule type="cellIs" dxfId="13" priority="25" operator="lessThan">
      <formula>0</formula>
    </cfRule>
    <cfRule type="cellIs" dxfId="12" priority="26" operator="greaterThan">
      <formula>0</formula>
    </cfRule>
  </conditionalFormatting>
  <conditionalFormatting sqref="J48:J49">
    <cfRule type="cellIs" dxfId="11" priority="23" operator="lessThan">
      <formula>0</formula>
    </cfRule>
    <cfRule type="cellIs" dxfId="10" priority="24" operator="greaterThan">
      <formula>0</formula>
    </cfRule>
  </conditionalFormatting>
  <conditionalFormatting sqref="J139:J140">
    <cfRule type="cellIs" dxfId="9" priority="1" operator="lessThan">
      <formula>0</formula>
    </cfRule>
    <cfRule type="cellIs" dxfId="8" priority="2" operator="greaterThan">
      <formula>0</formula>
    </cfRule>
  </conditionalFormatting>
  <conditionalFormatting sqref="K46:L47 K98:K137 K7:K45">
    <cfRule type="cellIs" dxfId="7" priority="28" operator="lessThan">
      <formula>D7</formula>
    </cfRule>
    <cfRule type="cellIs" dxfId="6" priority="29" operator="greaterThan">
      <formula>D7</formula>
    </cfRule>
  </conditionalFormatting>
  <conditionalFormatting sqref="K138:L138 L137">
    <cfRule type="cellIs" dxfId="5" priority="20" operator="lessThan">
      <formula>D137</formula>
    </cfRule>
    <cfRule type="cellIs" dxfId="4" priority="21" operator="greaterThan">
      <formula>D137</formula>
    </cfRule>
  </conditionalFormatting>
  <conditionalFormatting sqref="O7:O47">
    <cfRule type="dataBar" priority="88">
      <dataBar>
        <cfvo type="min"/>
        <cfvo type="max"/>
        <color rgb="FF638EC6"/>
      </dataBar>
      <extLst>
        <ext xmlns:x14="http://schemas.microsoft.com/office/spreadsheetml/2009/9/main" uri="{B025F937-C7B1-47D3-B67F-A62EFF666E3E}">
          <x14:id>{86A14078-2EFB-48A7-8E28-59CB16F3CD6D}</x14:id>
        </ext>
      </extLst>
    </cfRule>
  </conditionalFormatting>
  <conditionalFormatting sqref="O98:O137">
    <cfRule type="dataBar" priority="95">
      <dataBar>
        <cfvo type="min"/>
        <cfvo type="max"/>
        <color rgb="FF638EC6"/>
      </dataBar>
      <extLst>
        <ext xmlns:x14="http://schemas.microsoft.com/office/spreadsheetml/2009/9/main" uri="{B025F937-C7B1-47D3-B67F-A62EFF666E3E}">
          <x14:id>{26210A05-C5F0-43B8-B71E-A0A8346D5622}</x14:id>
        </ext>
      </extLst>
    </cfRule>
  </conditionalFormatting>
  <conditionalFormatting sqref="O139">
    <cfRule type="dataBar" priority="9">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139">
    <cfRule type="containsText" dxfId="3" priority="5" operator="containsText" text="Mala">
      <formula>NOT(ISERROR(SEARCH("Mala",P139)))</formula>
    </cfRule>
    <cfRule type="containsText" dxfId="2" priority="6" operator="containsText" text="Regular">
      <formula>NOT(ISERROR(SEARCH("Regular",P139)))</formula>
    </cfRule>
    <cfRule type="containsText" dxfId="1" priority="7" operator="containsText" text="Buena">
      <formula>NOT(ISERROR(SEARCH("Buena",P139)))</formula>
    </cfRule>
    <cfRule type="containsText" dxfId="0" priority="8" operator="containsText" text="Excelente">
      <formula>NOT(ISERROR(SEARCH("Excelente",P139)))</formula>
    </cfRule>
  </conditionalFormatting>
  <dataValidations count="1">
    <dataValidation type="list" allowBlank="1" showInputMessage="1" showErrorMessage="1" sqref="H2" xr:uid="{16981F0B-5F37-4231-9ED2-03F259A41EDA}">
      <formula1>$J$2:$J$3</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O7:O47</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O98:O137</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O139</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E43"/>
  <sheetViews>
    <sheetView showGridLines="0" showRowColHeaders="0" zoomScale="90" zoomScaleNormal="90" workbookViewId="0">
      <selection activeCell="E1" sqref="E1"/>
    </sheetView>
  </sheetViews>
  <sheetFormatPr baseColWidth="10" defaultRowHeight="14.5" x14ac:dyDescent="0.35"/>
  <cols>
    <col min="1" max="1" width="17.26953125" customWidth="1"/>
    <col min="3" max="3" width="11.453125" customWidth="1"/>
  </cols>
  <sheetData>
    <row r="1" spans="1:5" ht="15" thickBot="1" x14ac:dyDescent="0.4">
      <c r="A1" s="20">
        <v>0</v>
      </c>
      <c r="B1" s="126">
        <v>45597</v>
      </c>
      <c r="C1" s="125" t="s">
        <v>164</v>
      </c>
      <c r="D1" s="126">
        <v>45779</v>
      </c>
      <c r="E1" s="125" t="s">
        <v>168</v>
      </c>
    </row>
    <row r="2" spans="1:5" ht="15.5" thickTop="1" thickBot="1" x14ac:dyDescent="0.4">
      <c r="A2" s="1" t="s">
        <v>1</v>
      </c>
      <c r="B2" s="32" t="s">
        <v>3</v>
      </c>
      <c r="C2" s="32" t="s">
        <v>152</v>
      </c>
      <c r="D2" s="32" t="s">
        <v>3</v>
      </c>
      <c r="E2" s="32" t="s">
        <v>152</v>
      </c>
    </row>
    <row r="3" spans="1:5" ht="15.5" thickTop="1" thickBot="1" x14ac:dyDescent="0.4">
      <c r="A3" s="3" t="s">
        <v>81</v>
      </c>
      <c r="B3" s="38">
        <v>4</v>
      </c>
      <c r="C3" s="5">
        <v>1589.52001953125</v>
      </c>
      <c r="D3" s="38">
        <v>3</v>
      </c>
      <c r="E3" s="5">
        <f>D3*VLOOKUP(CONCATENATE(A3,".MX"),[1]Sheet1!$AP$40:$AY$78,10,0)</f>
        <v>1161.81</v>
      </c>
    </row>
    <row r="4" spans="1:5" ht="15.5" thickTop="1" thickBot="1" x14ac:dyDescent="0.4">
      <c r="A4" s="3" t="s">
        <v>166</v>
      </c>
      <c r="B4" s="38">
        <v>63</v>
      </c>
      <c r="C4" s="5">
        <v>896.48997116088867</v>
      </c>
      <c r="D4" s="38">
        <v>87</v>
      </c>
      <c r="E4" s="5">
        <f>D4*VLOOKUP(CONCATENATE(A4,".MX"),[1]Sheet1!$AP$40:$AY$78,10,0)</f>
        <v>1218.8699999999999</v>
      </c>
    </row>
    <row r="5" spans="1:5" ht="15.5" thickTop="1" thickBot="1" x14ac:dyDescent="0.4">
      <c r="A5" s="3" t="s">
        <v>103</v>
      </c>
      <c r="B5" s="38">
        <v>15</v>
      </c>
      <c r="C5" s="5">
        <v>931.95001602172852</v>
      </c>
      <c r="D5" s="38">
        <v>13</v>
      </c>
      <c r="E5" s="5">
        <f>D5*VLOOKUP(CONCATENATE(A5,".MX"),[1]Sheet1!$AP$40:$AY$78,10,0)</f>
        <v>798.46</v>
      </c>
    </row>
    <row r="6" spans="1:5" ht="15.5" thickTop="1" thickBot="1" x14ac:dyDescent="0.4">
      <c r="A6" s="3" t="s">
        <v>82</v>
      </c>
      <c r="B6" s="38">
        <v>66</v>
      </c>
      <c r="C6" s="5">
        <v>873.83998489379883</v>
      </c>
      <c r="D6" s="38">
        <v>98</v>
      </c>
      <c r="E6" s="5">
        <f>D6*VLOOKUP(CONCATENATE(A6,".MX"),[1]Sheet1!$AP$40:$AY$78,10,0)</f>
        <v>1655.22</v>
      </c>
    </row>
    <row r="7" spans="1:5" ht="15.5" thickTop="1" thickBot="1" x14ac:dyDescent="0.4">
      <c r="A7" s="3" t="s">
        <v>64</v>
      </c>
      <c r="B7" s="38">
        <v>8</v>
      </c>
      <c r="C7" s="5">
        <v>1726.3199462890625</v>
      </c>
      <c r="D7" s="38">
        <v>5</v>
      </c>
      <c r="E7" s="5">
        <f>D7*VLOOKUP(CONCATENATE(A7,".MX"),[1]Sheet1!$AP$40:$AY$78,10,0)</f>
        <v>1144.7</v>
      </c>
    </row>
    <row r="8" spans="1:5" ht="15.5" thickTop="1" thickBot="1" x14ac:dyDescent="0.4">
      <c r="A8" s="3" t="s">
        <v>65</v>
      </c>
      <c r="B8" s="38">
        <v>147</v>
      </c>
      <c r="C8" s="5">
        <v>1049.5799803733826</v>
      </c>
      <c r="D8" s="38">
        <v>163</v>
      </c>
      <c r="E8" s="5">
        <f>D8*VLOOKUP(CONCATENATE(A8,".MX"),[1]Sheet1!$AP$40:$AY$78,10,0)</f>
        <v>1577.84</v>
      </c>
    </row>
    <row r="9" spans="1:5" ht="15.5" thickTop="1" thickBot="1" x14ac:dyDescent="0.4">
      <c r="A9" s="3" t="s">
        <v>66</v>
      </c>
      <c r="B9" s="38">
        <v>88</v>
      </c>
      <c r="C9" s="5">
        <v>1067.4400100708008</v>
      </c>
      <c r="D9" s="38">
        <v>76</v>
      </c>
      <c r="E9" s="5">
        <f>D9*VLOOKUP(CONCATENATE(A9,".MX"),[1]Sheet1!$AP$40:$AY$78,10,0)</f>
        <v>1434.8799999999999</v>
      </c>
    </row>
    <row r="10" spans="1:5" ht="15.5" thickTop="1" thickBot="1" x14ac:dyDescent="0.4">
      <c r="A10" s="3" t="s">
        <v>67</v>
      </c>
      <c r="B10" s="38">
        <v>6</v>
      </c>
      <c r="C10" s="5">
        <v>1316.5799560546875</v>
      </c>
      <c r="D10" s="38">
        <v>5</v>
      </c>
      <c r="E10" s="5">
        <f>D10*VLOOKUP(CONCATENATE(A10,".MX"),[1]Sheet1!$AP$40:$AY$78,10,0)</f>
        <v>1203.0500000000002</v>
      </c>
    </row>
    <row r="11" spans="1:5" ht="15.5" thickTop="1" thickBot="1" x14ac:dyDescent="0.4">
      <c r="A11" s="3" t="s">
        <v>104</v>
      </c>
      <c r="B11" s="38">
        <v>11</v>
      </c>
      <c r="C11" s="5">
        <v>1119.3600234985352</v>
      </c>
      <c r="D11" s="38">
        <v>11</v>
      </c>
      <c r="E11" s="5">
        <f>D11*VLOOKUP(CONCATENATE(A11,".MX"),[1]Sheet1!$AP$40:$AY$78,10,0)</f>
        <v>1766.8200000000002</v>
      </c>
    </row>
    <row r="12" spans="1:5" ht="15.5" thickTop="1" thickBot="1" x14ac:dyDescent="0.4">
      <c r="A12" s="3" t="s">
        <v>105</v>
      </c>
      <c r="B12" s="38">
        <v>4</v>
      </c>
      <c r="C12" s="5">
        <v>826.1199951171875</v>
      </c>
      <c r="D12" s="38">
        <v>4</v>
      </c>
      <c r="E12" s="5">
        <f>D12*VLOOKUP(CONCATENATE(A12,".MX"),[1]Sheet1!$AP$40:$AY$78,10,0)</f>
        <v>719.76</v>
      </c>
    </row>
    <row r="13" spans="1:5" ht="15.5" thickTop="1" thickBot="1" x14ac:dyDescent="0.4">
      <c r="A13" s="3" t="s">
        <v>68</v>
      </c>
      <c r="B13" s="38">
        <v>2</v>
      </c>
      <c r="C13" s="5">
        <v>412.3800048828125</v>
      </c>
      <c r="D13" s="38">
        <v>3</v>
      </c>
      <c r="E13" s="5">
        <f>D13*VLOOKUP(CONCATENATE(A13,".MX"),[1]Sheet1!$AP$40:$AY$78,10,0)</f>
        <v>525.78</v>
      </c>
    </row>
    <row r="14" spans="1:5" ht="15.5" thickTop="1" thickBot="1" x14ac:dyDescent="0.4">
      <c r="A14" s="3" t="s">
        <v>83</v>
      </c>
      <c r="B14" s="38">
        <v>37</v>
      </c>
      <c r="C14" s="5">
        <v>627.88997459411621</v>
      </c>
      <c r="D14" s="38">
        <v>34</v>
      </c>
      <c r="E14" s="5">
        <f>D14*VLOOKUP(CONCATENATE(A14,".MX"),[1]Sheet1!$AP$40:$AY$78,10,0)</f>
        <v>720.46</v>
      </c>
    </row>
    <row r="15" spans="1:5" ht="15.5" thickTop="1" thickBot="1" x14ac:dyDescent="0.4">
      <c r="A15" s="3" t="s">
        <v>69</v>
      </c>
      <c r="B15" s="38">
        <v>3</v>
      </c>
      <c r="C15" s="5">
        <v>554.66999816894531</v>
      </c>
      <c r="D15" s="38">
        <v>3</v>
      </c>
      <c r="E15" s="5">
        <f>D15*VLOOKUP(CONCATENATE(A15,".MX"),[1]Sheet1!$AP$40:$AY$78,10,0)</f>
        <v>479.52</v>
      </c>
    </row>
    <row r="16" spans="1:5" ht="15.5" thickTop="1" thickBot="1" x14ac:dyDescent="0.4">
      <c r="A16" s="3" t="s">
        <v>70</v>
      </c>
      <c r="B16" s="38">
        <v>18</v>
      </c>
      <c r="C16" s="5">
        <v>791.46002197265625</v>
      </c>
      <c r="D16" s="38">
        <v>26</v>
      </c>
      <c r="E16" s="5">
        <f>D16*VLOOKUP(CONCATENATE(A16,".MX"),[1]Sheet1!$AP$40:$AY$78,10,0)</f>
        <v>1334.06</v>
      </c>
    </row>
    <row r="17" spans="1:5" ht="15.5" thickTop="1" thickBot="1" x14ac:dyDescent="0.4">
      <c r="A17" s="3" t="s">
        <v>71</v>
      </c>
      <c r="B17" s="38">
        <v>2</v>
      </c>
      <c r="C17" s="5">
        <v>747.29998779296875</v>
      </c>
      <c r="D17" s="38">
        <v>2</v>
      </c>
      <c r="E17" s="5">
        <f>D17*VLOOKUP(CONCATENATE(A17,".MX"),[1]Sheet1!$AP$40:$AY$78,10,0)</f>
        <v>630.58000000000004</v>
      </c>
    </row>
    <row r="18" spans="1:5" ht="15.5" thickTop="1" thickBot="1" x14ac:dyDescent="0.4">
      <c r="A18" s="3" t="s">
        <v>84</v>
      </c>
      <c r="B18" s="38">
        <v>2</v>
      </c>
      <c r="C18" s="5">
        <v>1238.5400390625</v>
      </c>
      <c r="D18" s="38">
        <v>2</v>
      </c>
      <c r="E18" s="5">
        <f>D18*VLOOKUP(CONCATENATE(A18,".MX"),[1]Sheet1!$AP$40:$AY$78,10,0)</f>
        <v>1123.98</v>
      </c>
    </row>
    <row r="19" spans="1:5" ht="15.5" thickTop="1" thickBot="1" x14ac:dyDescent="0.4">
      <c r="A19" s="3" t="s">
        <v>72</v>
      </c>
      <c r="B19" s="38">
        <v>14</v>
      </c>
      <c r="C19" s="5">
        <v>835.37997436523438</v>
      </c>
      <c r="D19" s="38">
        <v>18</v>
      </c>
      <c r="E19" s="5">
        <f>D19*VLOOKUP(CONCATENATE(A19,".MX"),[1]Sheet1!$AP$40:$AY$78,10,0)</f>
        <v>1155.6000000000001</v>
      </c>
    </row>
    <row r="20" spans="1:5" ht="15.5" thickTop="1" thickBot="1" x14ac:dyDescent="0.4">
      <c r="A20" s="3" t="s">
        <v>73</v>
      </c>
      <c r="B20" s="38">
        <v>4</v>
      </c>
      <c r="C20" s="5">
        <v>1571.9599609375</v>
      </c>
      <c r="D20" s="38">
        <v>4</v>
      </c>
      <c r="E20" s="5">
        <f>D20*VLOOKUP(CONCATENATE(A20,".MX"),[1]Sheet1!$AP$40:$AY$78,10,0)</f>
        <v>3076.36</v>
      </c>
    </row>
    <row r="21" spans="1:5" ht="15.5" thickTop="1" thickBot="1" x14ac:dyDescent="0.4">
      <c r="A21" s="3" t="s">
        <v>106</v>
      </c>
      <c r="B21" s="38">
        <v>27</v>
      </c>
      <c r="C21" s="5">
        <v>1270.6200370788574</v>
      </c>
      <c r="D21" s="38">
        <v>29</v>
      </c>
      <c r="E21" s="5">
        <f>D21*VLOOKUP(CONCATENATE(A21,".MX"),[1]Sheet1!$AP$40:$AY$78,10,0)</f>
        <v>1379.53</v>
      </c>
    </row>
    <row r="22" spans="1:5" ht="15.5" thickTop="1" thickBot="1" x14ac:dyDescent="0.4">
      <c r="A22" s="3" t="s">
        <v>85</v>
      </c>
      <c r="B22" s="38">
        <v>14</v>
      </c>
      <c r="C22" s="5">
        <v>317.38000106811523</v>
      </c>
      <c r="D22" s="38">
        <v>31</v>
      </c>
      <c r="E22" s="5">
        <f>D22*VLOOKUP(CONCATENATE(A22,".MX"),[1]Sheet1!$AP$40:$AY$78,10,0)</f>
        <v>705.87</v>
      </c>
    </row>
    <row r="23" spans="1:5" ht="15.5" thickTop="1" thickBot="1" x14ac:dyDescent="0.4">
      <c r="A23" s="3" t="s">
        <v>86</v>
      </c>
      <c r="B23" s="38">
        <v>25</v>
      </c>
      <c r="C23" s="5">
        <v>1032.9999923706055</v>
      </c>
      <c r="D23" s="38">
        <v>24</v>
      </c>
      <c r="E23" s="5">
        <f>D23*VLOOKUP(CONCATENATE(A23,".MX"),[1]Sheet1!$AP$40:$AY$78,10,0)</f>
        <v>851.04</v>
      </c>
    </row>
    <row r="24" spans="1:5" ht="15.5" thickTop="1" thickBot="1" x14ac:dyDescent="0.4">
      <c r="A24" s="3" t="s">
        <v>74</v>
      </c>
      <c r="B24" s="38">
        <v>19</v>
      </c>
      <c r="C24" s="5">
        <v>1018.7799797058105</v>
      </c>
      <c r="D24" s="38">
        <v>19</v>
      </c>
      <c r="E24" s="5">
        <f>D24*VLOOKUP(CONCATENATE(A24,".MX"),[1]Sheet1!$AP$40:$AY$78,10,0)</f>
        <v>1071.5999999999999</v>
      </c>
    </row>
    <row r="25" spans="1:5" ht="15.5" thickTop="1" thickBot="1" x14ac:dyDescent="0.4">
      <c r="A25" s="3" t="s">
        <v>87</v>
      </c>
      <c r="B25" s="38">
        <v>8</v>
      </c>
      <c r="C25" s="5">
        <v>722.47998046875</v>
      </c>
      <c r="D25" s="38">
        <v>9</v>
      </c>
      <c r="E25" s="5">
        <f>D25*VLOOKUP(CONCATENATE(A25,".MX"),[1]Sheet1!$AP$40:$AY$78,10,0)</f>
        <v>815.12999999999988</v>
      </c>
    </row>
    <row r="26" spans="1:5" ht="15.5" thickTop="1" thickBot="1" x14ac:dyDescent="0.4">
      <c r="A26" s="3" t="s">
        <v>107</v>
      </c>
      <c r="B26" s="38">
        <v>45</v>
      </c>
      <c r="C26" s="5">
        <v>1031.4000034332275</v>
      </c>
      <c r="D26" s="38">
        <v>51</v>
      </c>
      <c r="E26" s="5">
        <f>D26*VLOOKUP(CONCATENATE(A26,".MX"),[1]Sheet1!$AP$40:$AY$78,10,0)</f>
        <v>927.18</v>
      </c>
    </row>
    <row r="27" spans="1:5" ht="15.5" thickTop="1" thickBot="1" x14ac:dyDescent="0.4">
      <c r="A27" s="3" t="s">
        <v>76</v>
      </c>
      <c r="B27" s="38">
        <v>13</v>
      </c>
      <c r="C27" s="5">
        <v>1772.9400634765625</v>
      </c>
      <c r="D27" s="38">
        <v>11</v>
      </c>
      <c r="E27" s="5">
        <f>D27*VLOOKUP(CONCATENATE(A27,".MX"),[1]Sheet1!$AP$40:$AY$78,10,0)</f>
        <v>1460.58</v>
      </c>
    </row>
    <row r="28" spans="1:5" ht="15.5" thickTop="1" thickBot="1" x14ac:dyDescent="0.4">
      <c r="A28" s="3" t="s">
        <v>108</v>
      </c>
      <c r="B28" s="38">
        <v>6</v>
      </c>
      <c r="C28" s="5">
        <v>988.67999267578125</v>
      </c>
      <c r="D28" s="38">
        <v>8</v>
      </c>
      <c r="E28" s="5">
        <f>D28*VLOOKUP(CONCATENATE(A28,".MX"),[1]Sheet1!$AP$40:$AY$78,10,0)</f>
        <v>1427.2</v>
      </c>
    </row>
    <row r="29" spans="1:5" ht="15.5" thickTop="1" thickBot="1" x14ac:dyDescent="0.4">
      <c r="A29" s="3" t="s">
        <v>109</v>
      </c>
      <c r="B29" s="38">
        <v>0</v>
      </c>
      <c r="C29" s="5">
        <v>0</v>
      </c>
      <c r="D29" s="38">
        <v>0</v>
      </c>
      <c r="E29" s="5">
        <f>D29*VLOOKUP(CONCATENATE(A29,".MX"),[1]Sheet1!$AP$40:$AY$78,10,0)</f>
        <v>0</v>
      </c>
    </row>
    <row r="30" spans="1:5" ht="15.5" thickTop="1" thickBot="1" x14ac:dyDescent="0.4">
      <c r="A30" s="3" t="s">
        <v>110</v>
      </c>
      <c r="B30" s="38">
        <v>8</v>
      </c>
      <c r="C30" s="5">
        <v>1345.199951171875</v>
      </c>
      <c r="D30" s="38">
        <v>8</v>
      </c>
      <c r="E30" s="5">
        <f>D30*VLOOKUP(CONCATENATE(A30,".MX"),[1]Sheet1!$AP$40:$AY$78,10,0)</f>
        <v>1398.8</v>
      </c>
    </row>
    <row r="31" spans="1:5" ht="15.5" thickTop="1" thickBot="1" x14ac:dyDescent="0.4">
      <c r="A31" s="3" t="s">
        <v>78</v>
      </c>
      <c r="B31" s="38">
        <v>32</v>
      </c>
      <c r="C31" s="5">
        <v>1613.1199951171875</v>
      </c>
      <c r="D31" s="38">
        <v>32</v>
      </c>
      <c r="E31" s="5">
        <f>D31*VLOOKUP(CONCATENATE(A31,".MX"),[1]Sheet1!$AP$40:$AY$78,10,0)</f>
        <v>1443.84</v>
      </c>
    </row>
    <row r="32" spans="1:5" ht="15.5" thickTop="1" thickBot="1" x14ac:dyDescent="0.4">
      <c r="A32" s="3" t="s">
        <v>79</v>
      </c>
      <c r="B32" s="38">
        <v>29</v>
      </c>
      <c r="C32" s="5">
        <v>1000.5</v>
      </c>
      <c r="D32" s="38">
        <v>23</v>
      </c>
      <c r="E32" s="5">
        <f>D32*VLOOKUP(CONCATENATE(A32,".MX"),[1]Sheet1!$AP$40:$AY$78,10,0)</f>
        <v>827.08</v>
      </c>
    </row>
    <row r="33" spans="1:5" ht="15.5" thickTop="1" thickBot="1" x14ac:dyDescent="0.4">
      <c r="A33" s="3" t="s">
        <v>88</v>
      </c>
      <c r="B33" s="38">
        <v>22</v>
      </c>
      <c r="C33" s="5">
        <v>1049.400016784668</v>
      </c>
      <c r="D33" s="38">
        <v>25</v>
      </c>
      <c r="E33" s="5">
        <f>D33*VLOOKUP(CONCATENATE(A33,".MX"),[1]Sheet1!$AP$40:$AY$78,10,0)</f>
        <v>1329</v>
      </c>
    </row>
    <row r="34" spans="1:5" ht="15.5" thickTop="1" thickBot="1" x14ac:dyDescent="0.4">
      <c r="A34" s="3" t="s">
        <v>80</v>
      </c>
      <c r="B34" s="38">
        <v>5</v>
      </c>
      <c r="C34" s="5">
        <v>1084.7499847412109</v>
      </c>
      <c r="D34" s="38">
        <v>4</v>
      </c>
      <c r="E34" s="5">
        <f>D34*VLOOKUP(CONCATENATE(A34,".MX"),[1]Sheet1!$AP$40:$AY$78,10,0)</f>
        <v>673.88</v>
      </c>
    </row>
    <row r="35" spans="1:5" ht="15.5" thickTop="1" thickBot="1" x14ac:dyDescent="0.4">
      <c r="A35" s="3" t="s">
        <v>111</v>
      </c>
      <c r="B35" s="38">
        <v>10</v>
      </c>
      <c r="C35" s="5">
        <v>1378.9999389648438</v>
      </c>
      <c r="D35" s="38">
        <v>11</v>
      </c>
      <c r="E35" s="5">
        <f>D35*VLOOKUP(CONCATENATE(A35,".MX"),[1]Sheet1!$AP$40:$AY$78,10,0)</f>
        <v>1521.41</v>
      </c>
    </row>
    <row r="36" spans="1:5" ht="15.5" thickTop="1" thickBot="1" x14ac:dyDescent="0.4">
      <c r="A36" s="3" t="s">
        <v>123</v>
      </c>
      <c r="B36" s="38">
        <v>0</v>
      </c>
      <c r="C36" s="5">
        <v>0</v>
      </c>
      <c r="D36" s="38">
        <v>0</v>
      </c>
      <c r="E36" s="5">
        <f>D36*VLOOKUP(CONCATENATE(A36,".MX"),[1]Sheet1!$AP$40:$AY$78,10,0)</f>
        <v>0</v>
      </c>
    </row>
    <row r="37" spans="1:5" ht="15.5" thickTop="1" thickBot="1" x14ac:dyDescent="0.4">
      <c r="A37" s="3" t="s">
        <v>124</v>
      </c>
      <c r="B37" s="38">
        <v>0</v>
      </c>
      <c r="C37" s="5">
        <v>0</v>
      </c>
      <c r="D37" s="38">
        <v>0</v>
      </c>
      <c r="E37" s="5">
        <f>D37*VLOOKUP(CONCATENATE(A37,".MX"),[1]Sheet1!$AP$40:$AY$78,10,0)</f>
        <v>0</v>
      </c>
    </row>
    <row r="38" spans="1:5" ht="15.5" thickTop="1" thickBot="1" x14ac:dyDescent="0.4">
      <c r="A38" s="3" t="s">
        <v>75</v>
      </c>
      <c r="B38" s="38">
        <v>51</v>
      </c>
      <c r="C38" s="5">
        <v>1743.6899299621582</v>
      </c>
      <c r="D38" s="38">
        <v>38</v>
      </c>
      <c r="E38" s="5">
        <f>D38*VLOOKUP(CONCATENATE(A38,".MX"),[1]Sheet1!$AP$40:$AY$78,10,0)</f>
        <v>1679.6000000000001</v>
      </c>
    </row>
    <row r="39" spans="1:5" ht="15.5" thickTop="1" thickBot="1" x14ac:dyDescent="0.4">
      <c r="A39" s="3" t="s">
        <v>122</v>
      </c>
      <c r="B39" s="38">
        <v>0</v>
      </c>
      <c r="C39" s="5">
        <v>0</v>
      </c>
      <c r="D39" s="38">
        <v>0</v>
      </c>
      <c r="E39" s="5">
        <f>D39*VLOOKUP(CONCATENATE(A39,".MX"),[1]Sheet1!$AP$40:$AY$78,10,0)</f>
        <v>0</v>
      </c>
    </row>
    <row r="40" spans="1:5" ht="15.5" thickTop="1" thickBot="1" x14ac:dyDescent="0.4">
      <c r="A40" s="3" t="s">
        <v>77</v>
      </c>
      <c r="B40" s="38">
        <v>4</v>
      </c>
      <c r="C40" s="5">
        <v>506.72000122070313</v>
      </c>
      <c r="D40" s="38">
        <v>6</v>
      </c>
      <c r="E40" s="5">
        <f>D40*VLOOKUP(CONCATENATE(A40,".MX"),[1]Sheet1!$AP$40:$AY$78,10,0)</f>
        <v>808.26</v>
      </c>
    </row>
    <row r="41" spans="1:5" ht="15.5" thickTop="1" thickBot="1" x14ac:dyDescent="0.4">
      <c r="A41" s="3" t="s">
        <v>121</v>
      </c>
      <c r="B41" s="38">
        <v>23</v>
      </c>
      <c r="C41" s="5">
        <v>844.32997894287109</v>
      </c>
      <c r="D41" s="38">
        <v>23</v>
      </c>
      <c r="E41" s="5">
        <f>D41*VLOOKUP(CONCATENATE(A41,".MX"),[1]Sheet1!$AP$40:$AY$78,10,0)</f>
        <v>925.29</v>
      </c>
    </row>
    <row r="42" spans="1:5" ht="15.5" thickTop="1" thickBot="1" x14ac:dyDescent="0.4">
      <c r="A42" s="3" t="s">
        <v>7</v>
      </c>
      <c r="B42" s="38">
        <v>1</v>
      </c>
      <c r="C42" s="5">
        <v>626.25190660776059</v>
      </c>
      <c r="D42" s="38">
        <v>1</v>
      </c>
      <c r="E42" s="5">
        <v>1026.1199999999999</v>
      </c>
    </row>
    <row r="43" spans="1:5" ht="15" thickTop="1" x14ac:dyDescent="0.35">
      <c r="A43" s="101" t="s">
        <v>10</v>
      </c>
      <c r="C43" s="102">
        <f>SUM(C3:C42)</f>
        <v>37525.021618579041</v>
      </c>
      <c r="E43" s="102">
        <f>SUM(E3:E42)</f>
        <v>41999.159999999996</v>
      </c>
    </row>
  </sheetData>
  <sheetProtection algorithmName="SHA-512" hashValue="+hrl5nqFFtLBwnJ85xJVXaJb7+ciEP/ZpTTzX/u1dSXxrBdAdam/aRFqWtx1wxc5RsgxGKcgEkA6OLRJkn7Qqg==" saltValue="zWzovvzf9HfrgWECgpAR6Q==" spinCount="100000" sheet="1" objects="1" scenarios="1" formatRows="0"/>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DDC92-B218-4F12-B63F-AE06D44F11AE}">
  <sheetPr codeName="Hoja6"/>
  <dimension ref="A1:C37"/>
  <sheetViews>
    <sheetView showRowColHeaders="0" topLeftCell="A18" workbookViewId="0">
      <selection activeCell="A40" sqref="A40"/>
    </sheetView>
  </sheetViews>
  <sheetFormatPr baseColWidth="10" defaultRowHeight="14.5" x14ac:dyDescent="0.35"/>
  <cols>
    <col min="2" max="2" width="40" customWidth="1"/>
    <col min="3" max="3" width="19.36328125" customWidth="1"/>
  </cols>
  <sheetData>
    <row r="1" spans="1:3" ht="15.5" thickTop="1" thickBot="1" x14ac:dyDescent="0.4">
      <c r="A1" s="3" t="s">
        <v>105</v>
      </c>
      <c r="B1" s="37" t="s">
        <v>125</v>
      </c>
      <c r="C1" s="37" t="s">
        <v>52</v>
      </c>
    </row>
    <row r="2" spans="1:3" ht="15.5" thickTop="1" thickBot="1" x14ac:dyDescent="0.4">
      <c r="A2" s="3" t="s">
        <v>166</v>
      </c>
      <c r="B2" s="37" t="s">
        <v>167</v>
      </c>
      <c r="C2" s="37" t="s">
        <v>52</v>
      </c>
    </row>
    <row r="3" spans="1:3" ht="15.5" thickTop="1" thickBot="1" x14ac:dyDescent="0.4">
      <c r="A3" s="3" t="s">
        <v>70</v>
      </c>
      <c r="B3" s="37" t="s">
        <v>89</v>
      </c>
      <c r="C3" s="37" t="s">
        <v>101</v>
      </c>
    </row>
    <row r="4" spans="1:3" ht="15.5" thickTop="1" thickBot="1" x14ac:dyDescent="0.4">
      <c r="A4" s="3" t="s">
        <v>83</v>
      </c>
      <c r="B4" s="37" t="s">
        <v>126</v>
      </c>
      <c r="C4" s="37" t="s">
        <v>54</v>
      </c>
    </row>
    <row r="5" spans="1:3" ht="15.5" thickTop="1" thickBot="1" x14ac:dyDescent="0.4">
      <c r="A5" s="3" t="s">
        <v>84</v>
      </c>
      <c r="B5" s="37" t="s">
        <v>127</v>
      </c>
      <c r="C5" s="37" t="s">
        <v>53</v>
      </c>
    </row>
    <row r="6" spans="1:3" ht="15.5" thickTop="1" thickBot="1" x14ac:dyDescent="0.4">
      <c r="A6" s="3" t="s">
        <v>106</v>
      </c>
      <c r="B6" s="37" t="s">
        <v>117</v>
      </c>
      <c r="C6" s="37" t="s">
        <v>102</v>
      </c>
    </row>
    <row r="7" spans="1:3" ht="15.5" thickTop="1" thickBot="1" x14ac:dyDescent="0.4">
      <c r="A7" s="3" t="s">
        <v>72</v>
      </c>
      <c r="B7" s="37" t="s">
        <v>128</v>
      </c>
      <c r="C7" s="37" t="s">
        <v>52</v>
      </c>
    </row>
    <row r="8" spans="1:3" ht="15.5" thickTop="1" thickBot="1" x14ac:dyDescent="0.4">
      <c r="A8" s="3" t="s">
        <v>86</v>
      </c>
      <c r="B8" s="37" t="s">
        <v>129</v>
      </c>
      <c r="C8" s="37" t="s">
        <v>102</v>
      </c>
    </row>
    <row r="9" spans="1:3" ht="15.5" thickTop="1" thickBot="1" x14ac:dyDescent="0.4">
      <c r="A9" s="3" t="s">
        <v>66</v>
      </c>
      <c r="B9" s="37" t="s">
        <v>90</v>
      </c>
      <c r="C9" s="37" t="s">
        <v>55</v>
      </c>
    </row>
    <row r="10" spans="1:3" ht="15.5" thickTop="1" thickBot="1" x14ac:dyDescent="0.4">
      <c r="A10" s="3" t="s">
        <v>77</v>
      </c>
      <c r="B10" s="37" t="s">
        <v>116</v>
      </c>
      <c r="C10" s="37" t="s">
        <v>52</v>
      </c>
    </row>
    <row r="11" spans="1:3" ht="15.5" thickTop="1" thickBot="1" x14ac:dyDescent="0.4">
      <c r="A11" s="3" t="s">
        <v>85</v>
      </c>
      <c r="B11" s="37" t="s">
        <v>100</v>
      </c>
      <c r="C11" s="37" t="s">
        <v>101</v>
      </c>
    </row>
    <row r="12" spans="1:3" ht="15.5" thickTop="1" thickBot="1" x14ac:dyDescent="0.4">
      <c r="A12" s="3" t="s">
        <v>68</v>
      </c>
      <c r="B12" s="37" t="s">
        <v>130</v>
      </c>
      <c r="C12" s="37" t="s">
        <v>101</v>
      </c>
    </row>
    <row r="13" spans="1:3" ht="15.5" thickTop="1" thickBot="1" x14ac:dyDescent="0.4">
      <c r="A13" s="3" t="s">
        <v>81</v>
      </c>
      <c r="B13" s="37" t="s">
        <v>94</v>
      </c>
      <c r="C13" s="37" t="s">
        <v>53</v>
      </c>
    </row>
    <row r="14" spans="1:3" ht="15.5" thickTop="1" thickBot="1" x14ac:dyDescent="0.4">
      <c r="A14" s="3" t="s">
        <v>76</v>
      </c>
      <c r="B14" s="37" t="s">
        <v>131</v>
      </c>
      <c r="C14" s="37" t="s">
        <v>101</v>
      </c>
    </row>
    <row r="15" spans="1:3" ht="15.5" thickTop="1" thickBot="1" x14ac:dyDescent="0.4">
      <c r="A15" s="3" t="s">
        <v>108</v>
      </c>
      <c r="B15" s="37" t="s">
        <v>132</v>
      </c>
      <c r="C15" s="37" t="s">
        <v>55</v>
      </c>
    </row>
    <row r="16" spans="1:3" ht="15.5" thickTop="1" thickBot="1" x14ac:dyDescent="0.4">
      <c r="A16" s="3" t="s">
        <v>75</v>
      </c>
      <c r="B16" s="37" t="s">
        <v>93</v>
      </c>
      <c r="C16" s="37" t="s">
        <v>102</v>
      </c>
    </row>
    <row r="17" spans="1:3" ht="15.5" thickTop="1" thickBot="1" x14ac:dyDescent="0.4">
      <c r="A17" s="3" t="s">
        <v>78</v>
      </c>
      <c r="B17" s="37" t="s">
        <v>133</v>
      </c>
      <c r="C17" s="37" t="s">
        <v>102</v>
      </c>
    </row>
    <row r="18" spans="1:3" ht="15.5" thickTop="1" thickBot="1" x14ac:dyDescent="0.4">
      <c r="A18" s="3" t="s">
        <v>110</v>
      </c>
      <c r="B18" s="37" t="s">
        <v>134</v>
      </c>
      <c r="C18" s="37" t="s">
        <v>102</v>
      </c>
    </row>
    <row r="19" spans="1:3" ht="15.5" thickTop="1" thickBot="1" x14ac:dyDescent="0.4">
      <c r="A19" s="3" t="s">
        <v>104</v>
      </c>
      <c r="B19" s="37" t="s">
        <v>114</v>
      </c>
      <c r="C19" s="37" t="s">
        <v>55</v>
      </c>
    </row>
    <row r="20" spans="1:3" ht="15.5" thickTop="1" thickBot="1" x14ac:dyDescent="0.4">
      <c r="A20" s="3" t="s">
        <v>71</v>
      </c>
      <c r="B20" s="37" t="s">
        <v>135</v>
      </c>
      <c r="C20" s="37" t="s">
        <v>52</v>
      </c>
    </row>
    <row r="21" spans="1:3" ht="15.5" thickTop="1" thickBot="1" x14ac:dyDescent="0.4">
      <c r="A21" s="3" t="s">
        <v>79</v>
      </c>
      <c r="B21" s="37" t="s">
        <v>97</v>
      </c>
      <c r="C21" s="37" t="s">
        <v>101</v>
      </c>
    </row>
    <row r="22" spans="1:3" ht="15.5" thickTop="1" thickBot="1" x14ac:dyDescent="0.4">
      <c r="A22" s="3" t="s">
        <v>69</v>
      </c>
      <c r="B22" s="37" t="s">
        <v>91</v>
      </c>
      <c r="C22" s="37" t="s">
        <v>52</v>
      </c>
    </row>
    <row r="23" spans="1:3" ht="15.5" thickTop="1" thickBot="1" x14ac:dyDescent="0.4">
      <c r="A23" s="3" t="s">
        <v>107</v>
      </c>
      <c r="B23" s="37" t="s">
        <v>115</v>
      </c>
      <c r="C23" s="37" t="s">
        <v>142</v>
      </c>
    </row>
    <row r="24" spans="1:3" ht="15.5" thickTop="1" thickBot="1" x14ac:dyDescent="0.4">
      <c r="A24" s="3" t="s">
        <v>87</v>
      </c>
      <c r="B24" s="37" t="s">
        <v>92</v>
      </c>
      <c r="C24" s="37" t="s">
        <v>101</v>
      </c>
    </row>
    <row r="25" spans="1:3" ht="15.5" thickTop="1" thickBot="1" x14ac:dyDescent="0.4">
      <c r="A25" s="3" t="s">
        <v>88</v>
      </c>
      <c r="B25" s="37" t="s">
        <v>99</v>
      </c>
      <c r="C25" s="37" t="s">
        <v>54</v>
      </c>
    </row>
    <row r="26" spans="1:3" ht="15.5" thickTop="1" thickBot="1" x14ac:dyDescent="0.4">
      <c r="A26" s="3" t="s">
        <v>64</v>
      </c>
      <c r="B26" s="37" t="s">
        <v>136</v>
      </c>
      <c r="C26" s="37" t="s">
        <v>53</v>
      </c>
    </row>
    <row r="27" spans="1:3" ht="15.5" thickTop="1" thickBot="1" x14ac:dyDescent="0.4">
      <c r="A27" s="3" t="s">
        <v>82</v>
      </c>
      <c r="B27" s="37" t="s">
        <v>98</v>
      </c>
      <c r="C27" s="37" t="s">
        <v>55</v>
      </c>
    </row>
    <row r="28" spans="1:3" ht="15.5" thickTop="1" thickBot="1" x14ac:dyDescent="0.4">
      <c r="A28" s="3" t="s">
        <v>73</v>
      </c>
      <c r="B28" s="37" t="s">
        <v>96</v>
      </c>
      <c r="C28" s="37" t="s">
        <v>55</v>
      </c>
    </row>
    <row r="29" spans="1:3" ht="15.5" thickTop="1" thickBot="1" x14ac:dyDescent="0.4">
      <c r="A29" s="3" t="s">
        <v>67</v>
      </c>
      <c r="B29" s="37" t="s">
        <v>137</v>
      </c>
      <c r="C29" s="37" t="s">
        <v>53</v>
      </c>
    </row>
    <row r="30" spans="1:3" ht="15.5" thickTop="1" thickBot="1" x14ac:dyDescent="0.4">
      <c r="A30" s="3" t="s">
        <v>80</v>
      </c>
      <c r="B30" s="37" t="s">
        <v>95</v>
      </c>
      <c r="C30" s="37" t="s">
        <v>102</v>
      </c>
    </row>
    <row r="31" spans="1:3" ht="15.5" thickTop="1" thickBot="1" x14ac:dyDescent="0.4">
      <c r="A31" s="3" t="s">
        <v>111</v>
      </c>
      <c r="B31" s="37" t="s">
        <v>138</v>
      </c>
      <c r="C31" s="37" t="s">
        <v>102</v>
      </c>
    </row>
    <row r="32" spans="1:3" ht="15.5" thickTop="1" thickBot="1" x14ac:dyDescent="0.4">
      <c r="A32" s="3" t="s">
        <v>65</v>
      </c>
      <c r="B32" s="37" t="s">
        <v>139</v>
      </c>
      <c r="C32" s="37" t="s">
        <v>54</v>
      </c>
    </row>
    <row r="33" spans="1:3" ht="15.5" thickTop="1" thickBot="1" x14ac:dyDescent="0.4">
      <c r="A33" s="3" t="s">
        <v>74</v>
      </c>
      <c r="B33" s="37" t="s">
        <v>140</v>
      </c>
      <c r="C33" s="37" t="s">
        <v>143</v>
      </c>
    </row>
    <row r="34" spans="1:3" ht="15.5" thickTop="1" thickBot="1" x14ac:dyDescent="0.4">
      <c r="A34" s="3" t="s">
        <v>103</v>
      </c>
      <c r="B34" s="37" t="s">
        <v>113</v>
      </c>
      <c r="C34" s="37" t="s">
        <v>52</v>
      </c>
    </row>
    <row r="35" spans="1:3" ht="15.5" thickTop="1" thickBot="1" x14ac:dyDescent="0.4">
      <c r="A35" s="3" t="s">
        <v>121</v>
      </c>
      <c r="B35" s="37" t="s">
        <v>141</v>
      </c>
      <c r="C35" s="37" t="s">
        <v>52</v>
      </c>
    </row>
    <row r="36" spans="1:3" ht="15.5" thickTop="1" thickBot="1" x14ac:dyDescent="0.4">
      <c r="A36" s="3" t="s">
        <v>124</v>
      </c>
      <c r="B36" s="37" t="s">
        <v>165</v>
      </c>
      <c r="C36" s="37" t="s">
        <v>52</v>
      </c>
    </row>
    <row r="37" spans="1:3" ht="15" thickTop="1" x14ac:dyDescent="0.35"/>
  </sheetData>
  <sheetProtection formatRows="0"/>
  <sortState xmlns:xlrd2="http://schemas.microsoft.com/office/spreadsheetml/2017/richdata2" ref="A1:A35">
    <sortCondition ref="A1:A35"/>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Instrucciones</vt:lpstr>
      <vt:lpstr>Estrategia</vt:lpstr>
      <vt:lpstr>Portafolio Actual</vt:lpstr>
      <vt:lpstr>Último rebalanceo</vt:lpstr>
      <vt:lpstr>12M anteriores</vt:lpstr>
      <vt:lpstr>GICS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2026-05-04T20:52:26Z</dcterms:modified>
</cp:coreProperties>
</file>