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d.docs.live.net/DFEEF1721395A145/Desktop/Scientia/"/>
    </mc:Choice>
  </mc:AlternateContent>
  <xr:revisionPtr revIDLastSave="0" documentId="8_{972839A1-5C0F-4407-9A6B-6C2337C09F78}" xr6:coauthVersionLast="47" xr6:coauthVersionMax="47" xr10:uidLastSave="{00000000-0000-0000-0000-000000000000}"/>
  <bookViews>
    <workbookView xWindow="-110" yWindow="-110" windowWidth="19420" windowHeight="11500" activeTab="1" xr2:uid="{C004D953-8412-493E-A910-A95265F3CA5A}"/>
  </bookViews>
  <sheets>
    <sheet name="Instrucciones" sheetId="2" r:id="rId1"/>
    <sheet name="Estrategia" sheetId="4" r:id="rId2"/>
    <sheet name="Portafolio Actual" sheetId="1" r:id="rId3"/>
    <sheet name="Último rebalanceo" sheetId="3" r:id="rId4"/>
    <sheet name="Serie histórica" sheetId="5" r:id="rId5"/>
  </sheets>
  <definedNames>
    <definedName name="_xlnm._FilterDatabase" localSheetId="4" hidden="1">'Serie histórica'!$A$1:$O$67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 l="1"/>
  <c r="J11" i="3"/>
  <c r="G24" i="3"/>
  <c r="J7" i="3"/>
  <c r="K7" i="3"/>
  <c r="L7" i="3" s="1"/>
  <c r="J8" i="3"/>
  <c r="K8" i="3"/>
  <c r="M8" i="3" s="1"/>
  <c r="L8" i="3" l="1"/>
  <c r="M7" i="3"/>
  <c r="F19" i="3"/>
  <c r="B56" i="1"/>
  <c r="C56" i="1"/>
  <c r="B57" i="1"/>
  <c r="C57" i="1"/>
  <c r="B58" i="1"/>
  <c r="C58" i="1"/>
  <c r="B59" i="1"/>
  <c r="C59" i="1"/>
  <c r="B60" i="1"/>
  <c r="C60" i="1"/>
  <c r="B61" i="1"/>
  <c r="C61" i="1"/>
  <c r="B62" i="1"/>
  <c r="C62" i="1"/>
  <c r="B63" i="1"/>
  <c r="C63" i="1"/>
  <c r="B64" i="1"/>
  <c r="C64" i="1"/>
  <c r="B65" i="1"/>
  <c r="C65" i="1"/>
  <c r="B66" i="1"/>
  <c r="C66" i="1"/>
  <c r="P67"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3" i="5"/>
  <c r="B7" i="1"/>
  <c r="C7" i="1"/>
  <c r="C32" i="1" s="1"/>
  <c r="B8" i="1"/>
  <c r="C8" i="1"/>
  <c r="C33" i="1" s="1"/>
  <c r="B9" i="1"/>
  <c r="C9" i="1"/>
  <c r="C34" i="1" s="1"/>
  <c r="G9" i="1"/>
  <c r="G34" i="1" s="1"/>
  <c r="B10" i="1"/>
  <c r="C10" i="1"/>
  <c r="C35" i="1" s="1"/>
  <c r="B11" i="1"/>
  <c r="G11" i="1" s="1"/>
  <c r="G36" i="1" s="1"/>
  <c r="C11" i="1"/>
  <c r="C36" i="1" s="1"/>
  <c r="B12" i="1"/>
  <c r="G12" i="1" s="1"/>
  <c r="G37" i="1" s="1"/>
  <c r="C12" i="1"/>
  <c r="C37" i="1" s="1"/>
  <c r="B13" i="1"/>
  <c r="C13" i="1"/>
  <c r="C38" i="1" s="1"/>
  <c r="B14" i="1"/>
  <c r="C14" i="1"/>
  <c r="C39" i="1" s="1"/>
  <c r="B15" i="1"/>
  <c r="G15" i="1" s="1"/>
  <c r="G40" i="1" s="1"/>
  <c r="C15" i="1"/>
  <c r="C40" i="1" s="1"/>
  <c r="B16" i="1"/>
  <c r="C16" i="1"/>
  <c r="C41" i="1" s="1"/>
  <c r="B17" i="1"/>
  <c r="C17" i="1"/>
  <c r="C42" i="1" s="1"/>
  <c r="H3" i="1"/>
  <c r="H4" i="1"/>
  <c r="H2" i="1"/>
  <c r="F21" i="3" l="1"/>
  <c r="G7" i="3" s="1"/>
  <c r="G60" i="1"/>
  <c r="E58" i="1"/>
  <c r="G58" i="1"/>
  <c r="E61" i="1"/>
  <c r="E60" i="1"/>
  <c r="G64" i="1"/>
  <c r="E64" i="1"/>
  <c r="G61" i="1"/>
  <c r="B36" i="1"/>
  <c r="B40" i="1"/>
  <c r="B38" i="1"/>
  <c r="B35" i="1"/>
  <c r="B37" i="1"/>
  <c r="B34" i="1"/>
  <c r="B33" i="1"/>
  <c r="B42" i="1"/>
  <c r="B39" i="1"/>
  <c r="B32" i="1"/>
  <c r="B41" i="1"/>
  <c r="G14" i="1"/>
  <c r="G17" i="1"/>
  <c r="G8" i="1"/>
  <c r="G10" i="1"/>
  <c r="G7" i="1"/>
  <c r="G13" i="1"/>
  <c r="G16" i="1"/>
  <c r="G8" i="3" l="1"/>
  <c r="E57" i="1"/>
  <c r="G57" i="1"/>
  <c r="E66" i="1"/>
  <c r="G66" i="1"/>
  <c r="E62" i="1"/>
  <c r="G62" i="1"/>
  <c r="G32" i="1"/>
  <c r="E56" i="1"/>
  <c r="G56" i="1"/>
  <c r="G39" i="1"/>
  <c r="G63" i="1"/>
  <c r="E63" i="1"/>
  <c r="G65" i="1"/>
  <c r="E65" i="1"/>
  <c r="E59" i="1"/>
  <c r="G59" i="1"/>
  <c r="G42" i="1"/>
  <c r="G41" i="1"/>
  <c r="G38" i="1"/>
  <c r="G35" i="1"/>
  <c r="G33" i="1"/>
  <c r="B62" i="3" l="1"/>
  <c r="C62" i="3"/>
  <c r="B63" i="3"/>
  <c r="C63" i="3"/>
  <c r="B64" i="3"/>
  <c r="C64" i="3"/>
  <c r="B65" i="3"/>
  <c r="C65" i="3"/>
  <c r="B66" i="3"/>
  <c r="C66" i="3"/>
  <c r="B67" i="3"/>
  <c r="C67" i="3"/>
  <c r="B68" i="3"/>
  <c r="C68" i="3"/>
  <c r="B69" i="3"/>
  <c r="C69" i="3"/>
  <c r="I46" i="3"/>
  <c r="I47" i="3"/>
  <c r="I48" i="3"/>
  <c r="I49" i="3"/>
  <c r="I50" i="3"/>
  <c r="I51" i="3"/>
  <c r="I52" i="3"/>
  <c r="I53" i="3"/>
  <c r="I54" i="3"/>
  <c r="I55" i="3"/>
  <c r="I56" i="3"/>
  <c r="H46" i="3"/>
  <c r="H47" i="3"/>
  <c r="H48" i="3"/>
  <c r="H49" i="3"/>
  <c r="H50" i="3"/>
  <c r="H51" i="3"/>
  <c r="H52" i="3"/>
  <c r="H53" i="3"/>
  <c r="H54" i="3"/>
  <c r="H55" i="3"/>
  <c r="H56" i="3"/>
  <c r="H57" i="3"/>
  <c r="F46" i="3"/>
  <c r="F47" i="3"/>
  <c r="F48" i="3"/>
  <c r="F49" i="3"/>
  <c r="F50" i="3"/>
  <c r="F51" i="3"/>
  <c r="F52" i="3"/>
  <c r="F53" i="3"/>
  <c r="F54" i="3"/>
  <c r="F55" i="3"/>
  <c r="F56" i="3"/>
  <c r="B46" i="3"/>
  <c r="C46" i="3"/>
  <c r="B47" i="3"/>
  <c r="C47" i="3"/>
  <c r="B48" i="3"/>
  <c r="C48" i="3"/>
  <c r="B49" i="3"/>
  <c r="C49" i="3"/>
  <c r="B50" i="3"/>
  <c r="C50" i="3"/>
  <c r="B51" i="3"/>
  <c r="C51" i="3"/>
  <c r="B52" i="3"/>
  <c r="C52" i="3"/>
  <c r="B53" i="3"/>
  <c r="C53" i="3"/>
  <c r="K10" i="3"/>
  <c r="D7" i="1"/>
  <c r="K9" i="3"/>
  <c r="D8" i="1" s="1"/>
  <c r="K11" i="3"/>
  <c r="K12" i="3"/>
  <c r="D11" i="1" s="1"/>
  <c r="K13" i="3"/>
  <c r="K14" i="3"/>
  <c r="K15" i="3"/>
  <c r="K16" i="3"/>
  <c r="K17" i="3"/>
  <c r="K18" i="3"/>
  <c r="J9" i="3"/>
  <c r="J12" i="3"/>
  <c r="J13" i="3"/>
  <c r="J14" i="3"/>
  <c r="J15" i="3"/>
  <c r="J16" i="3"/>
  <c r="J17" i="3"/>
  <c r="J18" i="3"/>
  <c r="H19" i="3"/>
  <c r="H21" i="3" s="1"/>
  <c r="J46" i="3" l="1"/>
  <c r="D16" i="1"/>
  <c r="H16" i="1" s="1"/>
  <c r="D12" i="1"/>
  <c r="H12" i="1" s="1"/>
  <c r="M18" i="3"/>
  <c r="D17" i="1"/>
  <c r="H17" i="1" s="1"/>
  <c r="D15" i="1"/>
  <c r="H15" i="1" s="1"/>
  <c r="D14" i="1"/>
  <c r="H14" i="1" s="1"/>
  <c r="M14" i="3"/>
  <c r="D13" i="1"/>
  <c r="H13" i="1" s="1"/>
  <c r="M12" i="3"/>
  <c r="H8" i="1"/>
  <c r="H7" i="1"/>
  <c r="M10" i="3"/>
  <c r="D9" i="1"/>
  <c r="H11" i="1"/>
  <c r="M11" i="3"/>
  <c r="D10" i="1"/>
  <c r="H10" i="1" s="1"/>
  <c r="M17" i="3"/>
  <c r="J47" i="3"/>
  <c r="J56" i="3"/>
  <c r="J53" i="3"/>
  <c r="J51" i="3"/>
  <c r="J52" i="3"/>
  <c r="J49" i="3"/>
  <c r="J50" i="3"/>
  <c r="J48" i="3"/>
  <c r="J55" i="3"/>
  <c r="J54" i="3"/>
  <c r="M16" i="3"/>
  <c r="M9" i="3"/>
  <c r="J19" i="3"/>
  <c r="M13" i="3"/>
  <c r="M15" i="3"/>
  <c r="H9" i="1" l="1"/>
  <c r="G25" i="3"/>
  <c r="G26" i="3"/>
  <c r="G27" i="3"/>
  <c r="G28" i="3"/>
  <c r="G29" i="3"/>
  <c r="G30" i="3"/>
  <c r="G31" i="3"/>
  <c r="G32" i="3"/>
  <c r="G33" i="3"/>
  <c r="G34" i="3"/>
  <c r="G35" i="3"/>
  <c r="G71" i="3" l="1"/>
  <c r="L16" i="3"/>
  <c r="E15" i="1" s="1"/>
  <c r="F15" i="1" s="1"/>
  <c r="J15" i="1" s="1"/>
  <c r="G72" i="3"/>
  <c r="L17" i="3"/>
  <c r="E16" i="1" s="1"/>
  <c r="F16" i="1" s="1"/>
  <c r="J16" i="1" s="1"/>
  <c r="G73" i="3"/>
  <c r="L18" i="3"/>
  <c r="E17" i="1" s="1"/>
  <c r="F17" i="1" s="1"/>
  <c r="J17" i="1" s="1"/>
  <c r="G68" i="3"/>
  <c r="L13" i="3"/>
  <c r="E12" i="1" s="1"/>
  <c r="F12" i="1" s="1"/>
  <c r="J12" i="1" s="1"/>
  <c r="G69" i="3"/>
  <c r="L14" i="3"/>
  <c r="E13" i="1" s="1"/>
  <c r="F13" i="1" s="1"/>
  <c r="J13" i="1" s="1"/>
  <c r="G70" i="3"/>
  <c r="L15" i="3"/>
  <c r="E14" i="1" s="1"/>
  <c r="F14" i="1" s="1"/>
  <c r="J14" i="1" s="1"/>
  <c r="G65" i="3"/>
  <c r="L10" i="3"/>
  <c r="E9" i="1" s="1"/>
  <c r="F9" i="1" s="1"/>
  <c r="J9" i="1" s="1"/>
  <c r="G67" i="3"/>
  <c r="L12" i="3"/>
  <c r="E11" i="1" s="1"/>
  <c r="F11" i="1" s="1"/>
  <c r="J11" i="1" s="1"/>
  <c r="G66" i="3"/>
  <c r="L11" i="3"/>
  <c r="E10" i="1" s="1"/>
  <c r="F10" i="1" s="1"/>
  <c r="J10" i="1" s="1"/>
  <c r="E7" i="1"/>
  <c r="F7" i="1" s="1"/>
  <c r="J7" i="1" s="1"/>
  <c r="G63" i="3"/>
  <c r="G62" i="3"/>
  <c r="L9" i="3"/>
  <c r="E8" i="1" s="1"/>
  <c r="F8" i="1" s="1"/>
  <c r="J8" i="1" s="1"/>
  <c r="G64" i="3"/>
  <c r="I18" i="1"/>
  <c r="B23" i="3" l="1"/>
  <c r="B61" i="3" s="1"/>
  <c r="C6" i="1" l="1"/>
  <c r="B6" i="1"/>
  <c r="D2" i="1"/>
  <c r="C31" i="1" l="1"/>
  <c r="C55" i="1"/>
  <c r="B31" i="1"/>
  <c r="B55" i="1"/>
  <c r="B54" i="3"/>
  <c r="C54" i="3"/>
  <c r="B55" i="3"/>
  <c r="C55" i="3"/>
  <c r="B56" i="3"/>
  <c r="C56" i="3"/>
  <c r="C45" i="3"/>
  <c r="B45" i="3"/>
  <c r="B71" i="3"/>
  <c r="C71" i="3"/>
  <c r="B72" i="3"/>
  <c r="C72" i="3"/>
  <c r="B73" i="3"/>
  <c r="C73" i="3"/>
  <c r="C70" i="3"/>
  <c r="B70" i="3"/>
  <c r="I45" i="3"/>
  <c r="I59" i="3" l="1"/>
  <c r="G6" i="1" l="1"/>
  <c r="G55" i="1" l="1"/>
  <c r="E55" i="1"/>
  <c r="G18" i="3" l="1"/>
  <c r="G9" i="3"/>
  <c r="G10" i="3"/>
  <c r="G11" i="3"/>
  <c r="G13" i="3"/>
  <c r="G14" i="3"/>
  <c r="G15" i="3"/>
  <c r="G16" i="3"/>
  <c r="G17" i="3"/>
  <c r="G12" i="3"/>
  <c r="E6" i="1"/>
  <c r="D6" i="1"/>
  <c r="G19" i="3"/>
  <c r="J57" i="3"/>
  <c r="I45" i="1" l="1"/>
  <c r="F45" i="3" l="1"/>
  <c r="F59" i="3" l="1"/>
  <c r="G45" i="3" s="1"/>
  <c r="H45" i="3"/>
  <c r="G46" i="3" l="1"/>
  <c r="G48" i="3"/>
  <c r="G56" i="3"/>
  <c r="G47" i="3"/>
  <c r="G49" i="3"/>
  <c r="G50" i="3"/>
  <c r="G51" i="3"/>
  <c r="G52" i="3"/>
  <c r="G53" i="3"/>
  <c r="G55" i="3"/>
  <c r="G54" i="3"/>
  <c r="G57" i="3"/>
  <c r="J45" i="3"/>
  <c r="H59" i="3"/>
  <c r="G31" i="1"/>
  <c r="G21" i="3"/>
  <c r="F6" i="1" l="1"/>
  <c r="H6" i="1" l="1"/>
  <c r="J6" i="1" s="1"/>
  <c r="J60" i="3" l="1"/>
  <c r="J59" i="3"/>
  <c r="I21" i="3"/>
  <c r="J21" i="3" l="1"/>
  <c r="K19" i="3"/>
  <c r="M19" i="3" s="1"/>
  <c r="J22" i="3"/>
  <c r="D18" i="1" l="1"/>
  <c r="H18" i="1" s="1"/>
  <c r="H20" i="1" s="1"/>
  <c r="J20" i="1" s="1"/>
  <c r="M21" i="3"/>
  <c r="N7" i="3" s="1"/>
  <c r="O7" i="3" s="1"/>
  <c r="K17" i="1" l="1"/>
  <c r="J66" i="1" s="1"/>
  <c r="K14" i="1"/>
  <c r="L39" i="1" s="1"/>
  <c r="J21" i="1"/>
  <c r="I23" i="4" s="1"/>
  <c r="N8" i="3"/>
  <c r="O8" i="3" s="1"/>
  <c r="K7" i="1"/>
  <c r="L32" i="1" s="1"/>
  <c r="K10" i="1"/>
  <c r="L35" i="1" s="1"/>
  <c r="K13" i="1"/>
  <c r="J62" i="1" s="1"/>
  <c r="K16" i="1"/>
  <c r="J65" i="1" s="1"/>
  <c r="K11" i="1"/>
  <c r="L36" i="1" s="1"/>
  <c r="K8" i="1"/>
  <c r="L33" i="1" s="1"/>
  <c r="K15" i="1"/>
  <c r="L40" i="1" s="1"/>
  <c r="K12" i="1"/>
  <c r="J61" i="1" s="1"/>
  <c r="K9" i="1"/>
  <c r="L34" i="1" s="1"/>
  <c r="N12" i="3"/>
  <c r="F67" i="3" s="1"/>
  <c r="K50" i="3" s="1"/>
  <c r="N19" i="3"/>
  <c r="O19" i="3" s="1"/>
  <c r="F62" i="3"/>
  <c r="K45" i="3" s="1"/>
  <c r="L45" i="3" s="1"/>
  <c r="N9" i="3"/>
  <c r="F64" i="3" s="1"/>
  <c r="K47" i="3" s="1"/>
  <c r="N16" i="3"/>
  <c r="F71" i="3" s="1"/>
  <c r="K54" i="3" s="1"/>
  <c r="N13" i="3"/>
  <c r="F68" i="3" s="1"/>
  <c r="K51" i="3" s="1"/>
  <c r="N14" i="3"/>
  <c r="F69" i="3" s="1"/>
  <c r="K52" i="3" s="1"/>
  <c r="N10" i="3"/>
  <c r="F65" i="3" s="1"/>
  <c r="K48" i="3" s="1"/>
  <c r="N17" i="3"/>
  <c r="F72" i="3" s="1"/>
  <c r="K55" i="3" s="1"/>
  <c r="N18" i="3"/>
  <c r="F73" i="3" s="1"/>
  <c r="K56" i="3" s="1"/>
  <c r="N11" i="3"/>
  <c r="F66" i="3" s="1"/>
  <c r="K49" i="3" s="1"/>
  <c r="N15" i="3"/>
  <c r="F70" i="3" s="1"/>
  <c r="K53" i="3" s="1"/>
  <c r="G59" i="3"/>
  <c r="K18" i="1"/>
  <c r="K6" i="1"/>
  <c r="D55" i="1" s="1"/>
  <c r="D63" i="1" l="1"/>
  <c r="H63" i="1" s="1"/>
  <c r="D66" i="1"/>
  <c r="H66" i="1" s="1"/>
  <c r="L42" i="1"/>
  <c r="J63" i="1"/>
  <c r="D64" i="1"/>
  <c r="H64" i="1" s="1"/>
  <c r="J64" i="1"/>
  <c r="L41" i="1"/>
  <c r="D62" i="1"/>
  <c r="F62" i="1" s="1"/>
  <c r="D65" i="1"/>
  <c r="F65" i="1" s="1"/>
  <c r="L38" i="1"/>
  <c r="J59" i="1"/>
  <c r="D59" i="1"/>
  <c r="F59" i="1" s="1"/>
  <c r="L37" i="1"/>
  <c r="J57" i="1"/>
  <c r="D57" i="1"/>
  <c r="H57" i="1" s="1"/>
  <c r="D58" i="1"/>
  <c r="F58" i="1" s="1"/>
  <c r="J58" i="1"/>
  <c r="J60" i="1"/>
  <c r="F63" i="3"/>
  <c r="K57" i="3" s="1"/>
  <c r="D60" i="1"/>
  <c r="J56" i="1"/>
  <c r="D61" i="1"/>
  <c r="H61" i="1" s="1"/>
  <c r="D56" i="1"/>
  <c r="F56" i="1" s="1"/>
  <c r="L55" i="3"/>
  <c r="E41" i="1" s="1"/>
  <c r="M55" i="3"/>
  <c r="D41" i="1"/>
  <c r="L47" i="3"/>
  <c r="E33" i="1" s="1"/>
  <c r="M47" i="3"/>
  <c r="D33" i="1"/>
  <c r="L54" i="3"/>
  <c r="E40" i="1" s="1"/>
  <c r="M54" i="3"/>
  <c r="D40" i="1"/>
  <c r="H40" i="1" s="1"/>
  <c r="L53" i="3"/>
  <c r="E39" i="1" s="1"/>
  <c r="M53" i="3"/>
  <c r="D39" i="1"/>
  <c r="L48" i="3"/>
  <c r="E34" i="1" s="1"/>
  <c r="M48" i="3"/>
  <c r="D34" i="1"/>
  <c r="M51" i="3"/>
  <c r="L51" i="3"/>
  <c r="E37" i="1" s="1"/>
  <c r="D37" i="1"/>
  <c r="L52" i="3"/>
  <c r="E38" i="1" s="1"/>
  <c r="M52" i="3"/>
  <c r="D38" i="1"/>
  <c r="M50" i="3"/>
  <c r="L50" i="3"/>
  <c r="E36" i="1" s="1"/>
  <c r="D36" i="1"/>
  <c r="M49" i="3"/>
  <c r="L49" i="3"/>
  <c r="E35" i="1" s="1"/>
  <c r="D35" i="1"/>
  <c r="M56" i="3"/>
  <c r="L56" i="3"/>
  <c r="E42" i="1" s="1"/>
  <c r="D42" i="1"/>
  <c r="H42" i="1" s="1"/>
  <c r="O16" i="3"/>
  <c r="O15" i="3"/>
  <c r="O11" i="3"/>
  <c r="O18" i="3"/>
  <c r="O17" i="3"/>
  <c r="O10" i="3"/>
  <c r="O14" i="3"/>
  <c r="O13" i="3"/>
  <c r="O9" i="3"/>
  <c r="O12" i="3"/>
  <c r="T15" i="1"/>
  <c r="J67" i="1"/>
  <c r="L43" i="1"/>
  <c r="T17" i="1"/>
  <c r="T16" i="1"/>
  <c r="T6" i="1"/>
  <c r="L31" i="1"/>
  <c r="J55" i="1"/>
  <c r="K20" i="1"/>
  <c r="F63" i="1" l="1"/>
  <c r="F66" i="1"/>
  <c r="F64" i="1"/>
  <c r="H62" i="1"/>
  <c r="H58" i="1"/>
  <c r="H65" i="1"/>
  <c r="H59" i="1"/>
  <c r="D67" i="1"/>
  <c r="H60" i="1"/>
  <c r="F57" i="1"/>
  <c r="F60" i="1"/>
  <c r="K46" i="3"/>
  <c r="L46" i="3" s="1"/>
  <c r="E32" i="1" s="1"/>
  <c r="H56" i="1"/>
  <c r="F61" i="1"/>
  <c r="F42" i="1"/>
  <c r="J42" i="1" s="1"/>
  <c r="F37" i="1"/>
  <c r="H37" i="1"/>
  <c r="F40" i="1"/>
  <c r="J40" i="1" s="1"/>
  <c r="H41" i="1"/>
  <c r="F41" i="1"/>
  <c r="H35" i="1"/>
  <c r="F35" i="1"/>
  <c r="H34" i="1"/>
  <c r="F34" i="1"/>
  <c r="H36" i="1"/>
  <c r="F36" i="1"/>
  <c r="F38" i="1"/>
  <c r="H38" i="1"/>
  <c r="H33" i="1"/>
  <c r="F33" i="1"/>
  <c r="F39" i="1"/>
  <c r="H39" i="1"/>
  <c r="M57" i="3"/>
  <c r="L45" i="1"/>
  <c r="N21" i="3"/>
  <c r="J69" i="1"/>
  <c r="M46" i="3" l="1"/>
  <c r="D32" i="1"/>
  <c r="J39" i="1"/>
  <c r="J38" i="1"/>
  <c r="J33" i="1"/>
  <c r="J36" i="1"/>
  <c r="J34" i="1"/>
  <c r="J41" i="1"/>
  <c r="J35" i="1"/>
  <c r="J37" i="1"/>
  <c r="D31" i="1"/>
  <c r="H31" i="1" s="1"/>
  <c r="O21" i="3"/>
  <c r="F32" i="1" l="1"/>
  <c r="H32" i="1"/>
  <c r="E31" i="1"/>
  <c r="F31" i="1" s="1"/>
  <c r="J31" i="1" s="1"/>
  <c r="M45" i="3"/>
  <c r="D43" i="1"/>
  <c r="H43" i="1" s="1"/>
  <c r="H45" i="1" l="1"/>
  <c r="J46" i="1" s="1"/>
  <c r="J32" i="1"/>
  <c r="M59" i="3"/>
  <c r="N45" i="3" s="1"/>
  <c r="O45" i="3" s="1"/>
  <c r="K32" i="1" l="1"/>
  <c r="M32" i="1" s="1"/>
  <c r="K41" i="1"/>
  <c r="M41" i="1" s="1"/>
  <c r="K33" i="1"/>
  <c r="M33" i="1" s="1"/>
  <c r="K40" i="1"/>
  <c r="M40" i="1" s="1"/>
  <c r="K36" i="1"/>
  <c r="M36" i="1" s="1"/>
  <c r="K35" i="1"/>
  <c r="M35" i="1" s="1"/>
  <c r="K38" i="1"/>
  <c r="M38" i="1" s="1"/>
  <c r="K34" i="1"/>
  <c r="M34" i="1" s="1"/>
  <c r="K42" i="1"/>
  <c r="M42" i="1" s="1"/>
  <c r="K37" i="1"/>
  <c r="M37" i="1" s="1"/>
  <c r="K39" i="1"/>
  <c r="M39" i="1" s="1"/>
  <c r="N53" i="3"/>
  <c r="O53" i="3" s="1"/>
  <c r="N54" i="3"/>
  <c r="O54" i="3" s="1"/>
  <c r="N48" i="3"/>
  <c r="O48" i="3" s="1"/>
  <c r="N55" i="3"/>
  <c r="O55" i="3" s="1"/>
  <c r="N46" i="3"/>
  <c r="O46" i="3" s="1"/>
  <c r="N50" i="3"/>
  <c r="O50" i="3" s="1"/>
  <c r="N47" i="3"/>
  <c r="O47" i="3" s="1"/>
  <c r="N51" i="3"/>
  <c r="O51" i="3" s="1"/>
  <c r="N52" i="3"/>
  <c r="O52" i="3" s="1"/>
  <c r="N49" i="3"/>
  <c r="O49" i="3" s="1"/>
  <c r="N56" i="3"/>
  <c r="O56" i="3" s="1"/>
  <c r="N57" i="3"/>
  <c r="O57" i="3" s="1"/>
  <c r="K43" i="1"/>
  <c r="J45" i="1"/>
  <c r="K31" i="1"/>
  <c r="M43" i="1" l="1"/>
  <c r="U6" i="1"/>
  <c r="M31" i="1"/>
  <c r="O59" i="3" a="1"/>
  <c r="O59" i="3" s="1"/>
  <c r="P59" i="3" s="1"/>
  <c r="N59" i="3"/>
  <c r="U15" i="1"/>
  <c r="U17" i="1"/>
  <c r="U16" i="1"/>
  <c r="K45" i="1"/>
  <c r="M45" i="1" l="1" a="1"/>
  <c r="M45" i="1" s="1"/>
  <c r="N45" i="1" s="1"/>
  <c r="H55" i="1" l="1"/>
  <c r="H67" i="1"/>
  <c r="F55" i="1"/>
  <c r="H69" i="1" l="1"/>
  <c r="I57" i="1" l="1"/>
  <c r="K57" i="1" s="1"/>
  <c r="I65" i="1"/>
  <c r="K65" i="1" s="1"/>
  <c r="I60" i="1"/>
  <c r="K60" i="1" s="1"/>
  <c r="I62" i="1"/>
  <c r="K62" i="1" s="1"/>
  <c r="I63" i="1"/>
  <c r="K63" i="1" s="1"/>
  <c r="I56" i="1"/>
  <c r="K56" i="1" s="1"/>
  <c r="I58" i="1"/>
  <c r="K58" i="1" s="1"/>
  <c r="I64" i="1"/>
  <c r="K64" i="1" s="1"/>
  <c r="I66" i="1"/>
  <c r="K66" i="1" s="1"/>
  <c r="I59" i="1"/>
  <c r="K59" i="1" s="1"/>
  <c r="I61" i="1"/>
  <c r="K61" i="1" s="1"/>
  <c r="I67" i="1"/>
  <c r="I55" i="1"/>
  <c r="V15" i="1" l="1"/>
  <c r="K67" i="1"/>
  <c r="V6" i="1"/>
  <c r="K55" i="1"/>
  <c r="I69" i="1"/>
  <c r="V16" i="1"/>
  <c r="V17" i="1"/>
  <c r="K69" i="1" l="1" a="1"/>
  <c r="K69" i="1" s="1"/>
  <c r="L6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Ulises Legaspi Soubervielle</author>
  </authors>
  <commentList>
    <comment ref="I18" authorId="0" shapeId="0" xr:uid="{6A7D4E88-447C-4691-BDF2-28C90F76AACB}">
      <text>
        <r>
          <rPr>
            <b/>
            <sz val="9"/>
            <color indexed="81"/>
            <rFont val="Tahoma"/>
            <family val="2"/>
          </rPr>
          <t>Rendimiento histórico de los dividendos</t>
        </r>
      </text>
    </comment>
    <comment ref="M45" authorId="1" shapeId="0" xr:uid="{E8091BE6-D405-4139-909E-A4F1B747E345}">
      <text>
        <r>
          <rPr>
            <b/>
            <sz val="9"/>
            <color indexed="81"/>
            <rFont val="Tahoma"/>
            <family val="2"/>
          </rPr>
          <t>Ulises Legaspi Soubervielle:</t>
        </r>
        <r>
          <rPr>
            <sz val="9"/>
            <color indexed="81"/>
            <rFont val="Tahoma"/>
            <family val="2"/>
          </rPr>
          <t xml:space="preserve">
Suma las diferencias absolutas de % y da una interpretación al número de acuerdo a una escala pre-definida</t>
        </r>
      </text>
    </comment>
    <comment ref="K69" authorId="1" shapeId="0" xr:uid="{6BBB70BC-5CE9-43B0-AF53-C8EA4E0162B2}">
      <text>
        <r>
          <rPr>
            <b/>
            <sz val="9"/>
            <color indexed="81"/>
            <rFont val="Tahoma"/>
            <family val="2"/>
          </rPr>
          <t>Ulises Legaspi Soubervielle:</t>
        </r>
        <r>
          <rPr>
            <sz val="9"/>
            <color indexed="81"/>
            <rFont val="Tahoma"/>
            <family val="2"/>
          </rPr>
          <t xml:space="preserve">
Suma las diferencias absolutas de % y da una interpretación al número de acuerdo a una escala pre-definida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59" authorId="0" shapeId="0" xr:uid="{8269E590-486A-4C33-A036-231465688F04}">
      <text>
        <r>
          <rPr>
            <b/>
            <sz val="9"/>
            <color indexed="81"/>
            <rFont val="Tahoma"/>
            <family val="2"/>
          </rPr>
          <t>Autor:</t>
        </r>
        <r>
          <rPr>
            <sz val="9"/>
            <color indexed="81"/>
            <rFont val="Tahoma"/>
            <family val="2"/>
          </rPr>
          <t xml:space="preserve">
Suma las diferencias absolutas de % y da una interpretación al número de acuerdo a una escala pre-definida</t>
        </r>
      </text>
    </comment>
  </commentList>
</comments>
</file>

<file path=xl/sharedStrings.xml><?xml version="1.0" encoding="utf-8"?>
<sst xmlns="http://schemas.openxmlformats.org/spreadsheetml/2006/main" count="219" uniqueCount="121">
  <si>
    <t>SI YA SIGUES ESTA ESTRATEGIA:</t>
  </si>
  <si>
    <t>1. Ve a la pestaña de "Último rebalanceo" e ingresa la posición y costo de tu portafolio actual en la sección de "rebalanceo de mi portafolio"</t>
  </si>
  <si>
    <t>2. El formato te calculará automáticamente a los precios de compra que ingreses (vienen a cierre del último rebalanceo por default), los nuevos movimientos que tienes que hacer para continuar siguiendo la estrategia hasta este último rebalanceo.</t>
  </si>
  <si>
    <t>3. La información se copiará automáticamente en la sección "seguimiento histórico de mi portafolio" dentro de la pestaña "Portafolio Actual".</t>
  </si>
  <si>
    <t>4. En esa misma sección agrega el monto de inversión con el que empezaste a seguir la estrategia así como el saldo de los depósitos - retiros que has hecho al portafolio después de iniciado.</t>
  </si>
  <si>
    <r>
      <t xml:space="preserve">5. </t>
    </r>
    <r>
      <rPr>
        <b/>
        <sz val="10"/>
        <rFont val="Microsoft JhengHei"/>
        <family val="2"/>
      </rPr>
      <t>(OPCIONAL)</t>
    </r>
    <r>
      <rPr>
        <sz val="10"/>
        <rFont val="Microsoft JhengHei"/>
        <family val="2"/>
      </rPr>
      <t>. Puedes ingresar la información de los dividendos cobrados totales por emisora dentro del portafolio actual si quieres calcular el rendimiento total de cada una, caso contrario, la columna de "Rendimiento Total" por emisora se convierte en rendimiento simple pero en ningún caso afecta el cálculo del rendimiento total del portafolio.</t>
    </r>
  </si>
  <si>
    <t>SI ES TU PRIMERA VEZ Y QUIERES SEGUIR ESTA ESTRATEGIA*:</t>
  </si>
  <si>
    <t>1. Ve a la pestaña de "Portafolio Actual" y en la sección de "Empezar mi portafolio desde 0" ingresa la cantidad que quieres invertir en el portafolio de esta estrategia</t>
  </si>
  <si>
    <t>2. El formato te calculará automáticamente a los precios de compra que ingreses (vienen a cierre del último rebalanceo por default), la cantidad de títulos que tienes que comprar por emisora para seguir esta estrategia</t>
  </si>
  <si>
    <t>3. En la última columna te marcará las diferencias en peso de cada emisora vs el Portafolio Modelo así como un % de desviación total y calificación de indexación.</t>
  </si>
  <si>
    <t>*También lo puedes usar si ya la sigues pero hiciste un depósito/retiro de recursos de tu portafolio entre fechas de rebalanceo y quieres saber cómo debería de quedar tu portafolio con los cambios para continuar siguiendo la estrategia correctamente (sólo haz los movimientos por las diferencias que te marque entre el nuevo portafolio desde 0 y tu portafolio actual después del depósito/retiro de recursos)</t>
  </si>
  <si>
    <t>**En la última pestaña están las posiciones de los rebalanceos de los 12 meses anteriores a los 2 presentados en  la pestaña "Último rebalanceo"</t>
  </si>
  <si>
    <r>
      <rPr>
        <b/>
        <i/>
        <sz val="9"/>
        <color rgb="FF002060"/>
        <rFont val="Microsoft JhengHei"/>
        <family val="2"/>
      </rPr>
      <t xml:space="preserve">DISCLAIMER: </t>
    </r>
    <r>
      <rPr>
        <i/>
        <sz val="9"/>
        <color rgb="FF002060"/>
        <rFont val="Microsoft JhengHei"/>
        <family val="2"/>
      </rPr>
      <t xml:space="preserve">Los datos y la información proporcionados no deben interpretarse como asesoramiento de inversiones general ni personalizado ni recomendaciones para comprar o vender valores. Los productos u operaciones financieras a los que se refieren esos datos y esa información pueden no ser adecuados para tu perfil, tus objetivos o tus expectativas de inversión. Es tu responsabilidad determinar si cualquier producto u operación financiera es adecuada para tu caso, según tus intereses, objetivos de inversión, horizonte de inversión y propensión al riesgo. </t>
    </r>
  </si>
  <si>
    <t>VIX to Index USA EW 50/200M</t>
  </si>
  <si>
    <r>
      <t>De acuerdo al comportamiento de ratios de promedios móviles del índice de volatilidad (VIX) de cada viernes más cercano a inicio de mes, asigna en partes iguales los principales índices de USA (Nasdaq, S&amp;P500, DJ) de acuerdo a su nivel de desviación, una ponderación que va desde -1x hasta 3x a través de sus ETF's apalancados e inversos más representativos  (TQQQ, QLD, QQQ,  SPXL,  SSO, VOO, UDOW, DDM, DIA).</t>
    </r>
    <r>
      <rPr>
        <b/>
        <sz val="10.5"/>
        <color theme="6" tint="0.79998168889431442"/>
        <rFont val="Microsoft JhengHei"/>
        <family val="2"/>
      </rPr>
      <t xml:space="preserve"> 100% invertido a través de ETF's de USA fraccionados y en USD</t>
    </r>
    <r>
      <rPr>
        <sz val="10.5"/>
        <color theme="6" tint="0.79998168889431442"/>
        <rFont val="Microsoft JhengHei"/>
        <family val="2"/>
      </rPr>
      <t>.</t>
    </r>
  </si>
  <si>
    <t>Fecha de inicio:</t>
  </si>
  <si>
    <t>27 de Diciembre 2019</t>
  </si>
  <si>
    <t>Universo:</t>
  </si>
  <si>
    <t>USA</t>
  </si>
  <si>
    <t>Rebalanceo:</t>
  </si>
  <si>
    <t>Mensual</t>
  </si>
  <si>
    <t>Monto mínimo sugerido:</t>
  </si>
  <si>
    <t>Riesgo (volatilidad anual)</t>
  </si>
  <si>
    <t>Muy alta (30-40%)</t>
  </si>
  <si>
    <t>Acciones fraccionadas</t>
  </si>
  <si>
    <t>Sí</t>
  </si>
  <si>
    <t>% Mínimo por emisora</t>
  </si>
  <si>
    <t>% Máximo por emisora</t>
  </si>
  <si>
    <t>Efectivo</t>
  </si>
  <si>
    <t>*Los precios y rendimientos están calculados en USD. Al ser rotación mensual, sólo se consideran retornos simples por practicidad (no incluye dividendos) e igualmente para los benchmark</t>
  </si>
  <si>
    <t>**Al estar 100% invertido, no se considera ningún rendimiento por efectivo. Al ser ponderación equitativa, siempre se participa en los 3 índices de la misma manera</t>
  </si>
  <si>
    <t>***Los rendimientos calculados, son brutos (no contemplan ninguna clase de comisión ni impuestos).</t>
  </si>
  <si>
    <t>2026 YTD</t>
  </si>
  <si>
    <t>PORTAFOLIO</t>
  </si>
  <si>
    <t>S&amp;P 500</t>
  </si>
  <si>
    <t>Nasdaq 100</t>
  </si>
  <si>
    <t>Dow Jones</t>
  </si>
  <si>
    <t>Ponderación Nasdaq 100</t>
  </si>
  <si>
    <t>Valor inicial portafolio (USD)</t>
  </si>
  <si>
    <t>Ponderación S&amp;P 500</t>
  </si>
  <si>
    <t>Ponderación Dow Jones</t>
  </si>
  <si>
    <t>Ticker</t>
  </si>
  <si>
    <t>Compañía</t>
  </si>
  <si>
    <t>Títulos</t>
  </si>
  <si>
    <t>Costo Promedio Ponderado USD</t>
  </si>
  <si>
    <t>Costo total USD</t>
  </si>
  <si>
    <t>Último Cierre de mercado USD</t>
  </si>
  <si>
    <t>Valor mercado USD</t>
  </si>
  <si>
    <t>Dividendos Cobrados Totales</t>
  </si>
  <si>
    <t>Rendimiento Total sobre Costo Actual</t>
  </si>
  <si>
    <t>% Portafolio Modelo</t>
  </si>
  <si>
    <t>GICS únicos</t>
  </si>
  <si>
    <t>PM</t>
  </si>
  <si>
    <t>MP1</t>
  </si>
  <si>
    <t>MP2</t>
  </si>
  <si>
    <t>Consumo básico</t>
  </si>
  <si>
    <t>Industrial</t>
  </si>
  <si>
    <t>Consumo discrecional</t>
  </si>
  <si>
    <t>Materiales</t>
  </si>
  <si>
    <t>EFECTIVO</t>
  </si>
  <si>
    <t>TOTAL</t>
  </si>
  <si>
    <t>Rend. Simple</t>
  </si>
  <si>
    <t>Rend. Logarítmico</t>
  </si>
  <si>
    <t>SEGUIMIENTO HISTÓRICO DE MI PORTAFOLIO</t>
  </si>
  <si>
    <t>Aportaciones netas históricas (depósitos - retiros)</t>
  </si>
  <si>
    <t>PUEDES AGREGAR LOS DIVIDENDOS COBRADOS HISTÓRICOS POR EMISORA PARA CALCULAR SU RENDIMIENTO TOTAL (SI NO SE AGREGAN, SE VUELVE RENDIMIENTO SIMPLE). AGREGARLOS O NO, NO AFECTA EL CÁLCULO DEL RENDIMIENTO TOTAL DEL PORTAFOLIO</t>
  </si>
  <si>
    <t>Mi Portafolio</t>
  </si>
  <si>
    <t>Costo Promedio Ponderado</t>
  </si>
  <si>
    <t>Costo total</t>
  </si>
  <si>
    <t>Último Cierre de mercado</t>
  </si>
  <si>
    <t>Valor mercado</t>
  </si>
  <si>
    <t>Rendimiento Total</t>
  </si>
  <si>
    <t>% Mi Portafolio</t>
  </si>
  <si>
    <t>Diferencia vs Portafolio Modelo</t>
  </si>
  <si>
    <t>Indexación con el portafolio Modelo</t>
  </si>
  <si>
    <t>EMPEZAR MI PORTAFOLIO DESDE 0</t>
  </si>
  <si>
    <t>¿Cuánto quieres invertir? (USD)</t>
  </si>
  <si>
    <t>CAMBIA TU COSTO PROMEDIO PONDERADO AL PRECIO REAL DE COMPRA (POR DEFAULT VIENE EL ÚLTIMO CIERRE DEL MERCADO A LA FECHA DEL PORTAFOLIO)</t>
  </si>
  <si>
    <t>ANTERIOR</t>
  </si>
  <si>
    <t>NUEVO</t>
  </si>
  <si>
    <t>Precio mercado inicio rebalanceo en USD</t>
  </si>
  <si>
    <t>Precio mercado final rebalanceo en USD</t>
  </si>
  <si>
    <t>Dividendos cobrados en el período USD</t>
  </si>
  <si>
    <t>Rendimiento del período</t>
  </si>
  <si>
    <t>Diferencia vs anterior</t>
  </si>
  <si>
    <t>TQQQ</t>
  </si>
  <si>
    <t>ProShares UltraPro QQQ</t>
  </si>
  <si>
    <t>SPXL</t>
  </si>
  <si>
    <t>Direxion Daily S&amp;P 500 Bull 3X Shares</t>
  </si>
  <si>
    <t>UDOW</t>
  </si>
  <si>
    <t>ProShares UltraPro Dow30</t>
  </si>
  <si>
    <t>QLD</t>
  </si>
  <si>
    <t>ProShares Ultra QQQ</t>
  </si>
  <si>
    <t>SSO</t>
  </si>
  <si>
    <t>ProShares Ultra S&amp;P500</t>
  </si>
  <si>
    <t>DDM</t>
  </si>
  <si>
    <t>ProShares Ultra Dow30</t>
  </si>
  <si>
    <t>QQQ</t>
  </si>
  <si>
    <t>Invesco QQQ Trust</t>
  </si>
  <si>
    <t>VOO</t>
  </si>
  <si>
    <t>Vanguard S&amp;P 500 ETF</t>
  </si>
  <si>
    <t>DIA</t>
  </si>
  <si>
    <t>SPDR Dow Jones Industrial Average ETF Trust</t>
  </si>
  <si>
    <t>PSQ</t>
  </si>
  <si>
    <t>ProShares Short QQQ</t>
  </si>
  <si>
    <t>SH</t>
  </si>
  <si>
    <t>ProShares Short S&amp;P500</t>
  </si>
  <si>
    <t>DOG</t>
  </si>
  <si>
    <t>ProShares Short Dow30</t>
  </si>
  <si>
    <t>Compra (Venta)</t>
  </si>
  <si>
    <t>Precio USD</t>
  </si>
  <si>
    <t>REBALANCEO DE MI PORTAFOLIO</t>
  </si>
  <si>
    <t>AGREGA TUS TÍTULOS Y COSTO ACTUAL (ANTES DE ESTE REBALANCEO) Y EN LA PARTE INFERIOR CAMBIA A TUS PRECIOS REALES DE EJECUCIÓN (VIENEN POR DEFAULT LOS ÚLTIMOS DE CIERRE A LA FECHA DEL REBALANCEO) PARA OBTENER EL NÚMERO DE TÍTULOS A COMPRAR (VENDER) POR EMISORA.</t>
  </si>
  <si>
    <t>Precio mercado inicio rebalanceo</t>
  </si>
  <si>
    <t>Precio mercado final rebalanceo</t>
  </si>
  <si>
    <t>Dividendos cobrados en el período</t>
  </si>
  <si>
    <t>Rendimiento Total del período</t>
  </si>
  <si>
    <t>Precio</t>
  </si>
  <si>
    <t>Valor portafolio USD</t>
  </si>
  <si>
    <t>Rend LN del período</t>
  </si>
  <si>
    <t>12/27/2019 (Inicio)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</si>
</sst>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_(&quot;$&quot;* #,##0_);_(&quot;$&quot;* \(#,##0\);_(&quot;$&quot;* &quot;-&quot;??_);_(@_)"/>
    <numFmt numFmtId="166" formatCode="_(&quot;$&quot;* #,##0.0_);_(&quot;$&quot;* \(#,##0.0\);_(&quot;$&quot;* &quot;-&quot;??_);_(@_)"/>
    <numFmt numFmtId="167" formatCode="_(* #,##0_);_(* \(#,##0\);_(* &quot;-&quot;??_);_(@_)"/>
    <numFmt numFmtId="168" formatCode="[$-409]d\-mmm\-yyyy;@"/>
    <numFmt numFmtId="169" formatCode="0.000%"/>
  </numFmts>
  <fonts count="44" x14ac:knownFonts="1">
    <font>
      <sz val="11"/>
      <color theme="1"/>
      <name val="Calibri"/>
      <family val="2"/>
      <scheme val="minor"/>
    </font>
    <font>
      <sz val="11"/>
      <color theme="1"/>
      <name val="Calibri"/>
      <family val="2"/>
      <scheme val="minor"/>
    </font>
    <font>
      <sz val="8"/>
      <color theme="1"/>
      <name val="Malgun Gothic Semilight"/>
      <family val="2"/>
    </font>
    <font>
      <b/>
      <sz val="8"/>
      <color theme="1"/>
      <name val="Malgun Gothic Semilight"/>
      <family val="2"/>
    </font>
    <font>
      <b/>
      <sz val="9"/>
      <color theme="1"/>
      <name val="Malgun Gothic Semilight"/>
      <family val="2"/>
    </font>
    <font>
      <sz val="11"/>
      <color theme="0"/>
      <name val="Calibri"/>
      <family val="2"/>
      <scheme val="minor"/>
    </font>
    <font>
      <b/>
      <sz val="10"/>
      <color rgb="FF784FC9"/>
      <name val="Malgun Gothic"/>
      <family val="2"/>
    </font>
    <font>
      <b/>
      <sz val="8"/>
      <color theme="0"/>
      <name val="Malgun Gothic Semilight"/>
      <family val="2"/>
    </font>
    <font>
      <b/>
      <sz val="11"/>
      <color theme="0"/>
      <name val="Malgun Gothic"/>
      <family val="2"/>
    </font>
    <font>
      <b/>
      <sz val="9"/>
      <color indexed="81"/>
      <name val="Tahoma"/>
      <family val="2"/>
    </font>
    <font>
      <sz val="9"/>
      <color indexed="81"/>
      <name val="Tahoma"/>
      <family val="2"/>
    </font>
    <font>
      <sz val="8"/>
      <color rgb="FFC00000"/>
      <name val="Malgun Gothic Semilight"/>
      <family val="2"/>
    </font>
    <font>
      <sz val="9"/>
      <color rgb="FFC00000"/>
      <name val="Malgun Gothic"/>
      <family val="2"/>
    </font>
    <font>
      <b/>
      <sz val="9"/>
      <color rgb="FFC00000"/>
      <name val="Malgun Gothic"/>
      <family val="2"/>
    </font>
    <font>
      <b/>
      <sz val="9"/>
      <color rgb="FF784FC9"/>
      <name val="Malgun Gothic Semilight"/>
      <family val="2"/>
    </font>
    <font>
      <b/>
      <sz val="10"/>
      <color theme="3"/>
      <name val="Malgun Gothic Semilight"/>
      <family val="2"/>
    </font>
    <font>
      <b/>
      <sz val="8"/>
      <color theme="0" tint="-4.9989318521683403E-2"/>
      <name val="Malgun Gothic Semilight"/>
      <family val="2"/>
    </font>
    <font>
      <b/>
      <i/>
      <sz val="8"/>
      <color theme="1"/>
      <name val="Malgun Gothic Semilight"/>
      <family val="2"/>
    </font>
    <font>
      <b/>
      <sz val="9"/>
      <color theme="0"/>
      <name val="Malgun Gothic Semilight"/>
      <family val="2"/>
    </font>
    <font>
      <b/>
      <sz val="9"/>
      <color theme="1"/>
      <name val="Malgun Gothic"/>
      <family val="2"/>
    </font>
    <font>
      <b/>
      <sz val="9"/>
      <color rgb="FF002060"/>
      <name val="Malgun Gothic"/>
      <family val="2"/>
    </font>
    <font>
      <b/>
      <sz val="8"/>
      <color rgb="FF002060"/>
      <name val="Malgun Gothic Semilight"/>
      <family val="2"/>
    </font>
    <font>
      <sz val="11"/>
      <color theme="1"/>
      <name val="Microsoft JhengHei"/>
      <family val="2"/>
    </font>
    <font>
      <sz val="10"/>
      <color theme="1"/>
      <name val="Microsoft JhengHei"/>
      <family val="2"/>
    </font>
    <font>
      <sz val="10"/>
      <name val="Microsoft JhengHei"/>
      <family val="2"/>
    </font>
    <font>
      <sz val="11"/>
      <name val="Microsoft JhengHei"/>
      <family val="2"/>
    </font>
    <font>
      <b/>
      <sz val="10"/>
      <name val="Microsoft JhengHei"/>
      <family val="2"/>
    </font>
    <font>
      <b/>
      <sz val="11"/>
      <color rgb="FF002060"/>
      <name val="Microsoft JhengHei"/>
      <family val="2"/>
    </font>
    <font>
      <b/>
      <sz val="11"/>
      <color rgb="FF7847C9"/>
      <name val="Microsoft JhengHei"/>
      <family val="2"/>
    </font>
    <font>
      <b/>
      <sz val="9"/>
      <color rgb="FF002060"/>
      <name val="Malgun Gothic Semilight"/>
      <family val="2"/>
    </font>
    <font>
      <b/>
      <sz val="10"/>
      <color rgb="FF002060"/>
      <name val="Microsoft JhengHei"/>
      <family val="2"/>
    </font>
    <font>
      <sz val="10"/>
      <color theme="6" tint="0.79998168889431442"/>
      <name val="Microsoft JhengHei"/>
      <family val="2"/>
    </font>
    <font>
      <i/>
      <sz val="9"/>
      <color rgb="FF002060"/>
      <name val="Microsoft JhengHei"/>
      <family val="2"/>
    </font>
    <font>
      <sz val="10"/>
      <color theme="1"/>
      <name val="BrowalliaUPC"/>
      <family val="2"/>
      <charset val="222"/>
    </font>
    <font>
      <b/>
      <sz val="9"/>
      <color theme="0"/>
      <name val="Malgun Gothic"/>
      <family val="2"/>
    </font>
    <font>
      <sz val="10.5"/>
      <color theme="6" tint="0.79998168889431442"/>
      <name val="Microsoft JhengHei"/>
      <family val="2"/>
    </font>
    <font>
      <b/>
      <i/>
      <sz val="9"/>
      <color rgb="FF002060"/>
      <name val="Microsoft JhengHei"/>
      <family val="2"/>
    </font>
    <font>
      <sz val="9"/>
      <color theme="0"/>
      <name val="Microsoft JhengHei"/>
      <family val="2"/>
    </font>
    <font>
      <sz val="9"/>
      <color theme="0"/>
      <name val="Malgun Gothic"/>
      <family val="2"/>
    </font>
    <font>
      <sz val="11"/>
      <color rgb="FFFF0000"/>
      <name val="Microsoft JhengHei"/>
      <family val="2"/>
    </font>
    <font>
      <sz val="8"/>
      <name val="Calibri"/>
      <family val="2"/>
      <scheme val="minor"/>
    </font>
    <font>
      <sz val="9"/>
      <color theme="1"/>
      <name val="Malgun Gothic Semilight"/>
      <family val="2"/>
    </font>
    <font>
      <b/>
      <sz val="10.5"/>
      <color theme="6" tint="0.79998168889431442"/>
      <name val="Microsoft JhengHei"/>
      <family val="2"/>
    </font>
    <font>
      <sz val="9"/>
      <name val="Malgun Gothic"/>
      <family val="2"/>
    </font>
  </fonts>
  <fills count="13">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784FC9"/>
        <bgColor indexed="64"/>
      </patternFill>
    </fill>
    <fill>
      <patternFill patternType="solid">
        <fgColor rgb="FF002060"/>
        <bgColor indexed="64"/>
      </patternFill>
    </fill>
    <fill>
      <patternFill patternType="solid">
        <fgColor rgb="FFCDACE6"/>
        <bgColor indexed="64"/>
      </patternFill>
    </fill>
    <fill>
      <patternFill patternType="solid">
        <fgColor rgb="FFFFFFFF"/>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EC2BA"/>
        <bgColor indexed="64"/>
      </patternFill>
    </fill>
    <fill>
      <patternFill patternType="solid">
        <fgColor theme="0"/>
        <bgColor indexed="64"/>
      </patternFill>
    </fill>
  </fills>
  <borders count="33">
    <border>
      <left/>
      <right/>
      <top/>
      <bottom/>
      <diagonal/>
    </border>
    <border>
      <left style="thick">
        <color theme="3" tint="0.79998168889431442"/>
      </left>
      <right style="thick">
        <color theme="3" tint="0.79998168889431442"/>
      </right>
      <top style="thick">
        <color theme="3" tint="0.79998168889431442"/>
      </top>
      <bottom style="thick">
        <color theme="3" tint="0.7999816888943144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theme="3" tint="0.79998168889431442"/>
      </left>
      <right style="thick">
        <color theme="3" tint="0.79998168889431442"/>
      </right>
      <top/>
      <bottom/>
      <diagonal/>
    </border>
    <border>
      <left style="medium">
        <color theme="2" tint="-9.9978637043366805E-2"/>
      </left>
      <right style="medium">
        <color theme="2" tint="-9.9978637043366805E-2"/>
      </right>
      <top style="medium">
        <color theme="2" tint="-9.9978637043366805E-2"/>
      </top>
      <bottom style="medium">
        <color theme="2" tint="-9.9978637043366805E-2"/>
      </bottom>
      <diagonal/>
    </border>
    <border>
      <left/>
      <right style="thick">
        <color theme="3" tint="0.79998168889431442"/>
      </right>
      <top style="thick">
        <color theme="3" tint="0.79998168889431442"/>
      </top>
      <bottom style="thick">
        <color theme="3" tint="0.79998168889431442"/>
      </bottom>
      <diagonal/>
    </border>
    <border>
      <left style="medium">
        <color theme="4" tint="0.39997558519241921"/>
      </left>
      <right/>
      <top style="medium">
        <color theme="4" tint="0.39997558519241921"/>
      </top>
      <bottom style="medium">
        <color theme="4" tint="0.39997558519241921"/>
      </bottom>
      <diagonal/>
    </border>
    <border>
      <left/>
      <right/>
      <top style="medium">
        <color theme="4" tint="0.39997558519241921"/>
      </top>
      <bottom style="medium">
        <color theme="4" tint="0.39997558519241921"/>
      </bottom>
      <diagonal/>
    </border>
    <border>
      <left style="medium">
        <color rgb="FF002060"/>
      </left>
      <right/>
      <top style="medium">
        <color rgb="FF002060"/>
      </top>
      <bottom style="thick">
        <color theme="3" tint="0.79998168889431442"/>
      </bottom>
      <diagonal/>
    </border>
    <border>
      <left/>
      <right/>
      <top style="medium">
        <color rgb="FF002060"/>
      </top>
      <bottom style="thick">
        <color theme="3" tint="0.79998168889431442"/>
      </bottom>
      <diagonal/>
    </border>
    <border>
      <left/>
      <right style="medium">
        <color rgb="FF002060"/>
      </right>
      <top style="medium">
        <color rgb="FF002060"/>
      </top>
      <bottom style="thick">
        <color theme="3" tint="0.79998168889431442"/>
      </bottom>
      <diagonal/>
    </border>
    <border>
      <left style="thick">
        <color theme="3" tint="0.79998168889431442"/>
      </left>
      <right/>
      <top style="thick">
        <color theme="3" tint="0.79998168889431442"/>
      </top>
      <bottom style="thick">
        <color theme="3" tint="0.79998168889431442"/>
      </bottom>
      <diagonal/>
    </border>
    <border>
      <left style="medium">
        <color theme="4" tint="0.39997558519241921"/>
      </left>
      <right style="thick">
        <color theme="3" tint="0.79998168889431442"/>
      </right>
      <top/>
      <bottom style="thick">
        <color theme="3" tint="0.79998168889431442"/>
      </bottom>
      <diagonal/>
    </border>
    <border>
      <left style="thick">
        <color theme="3" tint="0.79998168889431442"/>
      </left>
      <right style="thick">
        <color theme="3" tint="0.79998168889431442"/>
      </right>
      <top/>
      <bottom style="thick">
        <color theme="3" tint="0.79998168889431442"/>
      </bottom>
      <diagonal/>
    </border>
    <border>
      <left style="thick">
        <color theme="3" tint="0.79998168889431442"/>
      </left>
      <right/>
      <top/>
      <bottom style="thick">
        <color theme="3" tint="0.79998168889431442"/>
      </bottom>
      <diagonal/>
    </border>
    <border>
      <left style="thick">
        <color theme="3" tint="0.79998168889431442"/>
      </left>
      <right style="medium">
        <color rgb="FF002060"/>
      </right>
      <top style="thick">
        <color theme="3" tint="0.79998168889431442"/>
      </top>
      <bottom style="thick">
        <color theme="3" tint="0.79998168889431442"/>
      </bottom>
      <diagonal/>
    </border>
    <border>
      <left style="medium">
        <color theme="4" tint="0.39997558519241921"/>
      </left>
      <right style="thick">
        <color theme="3" tint="0.79998168889431442"/>
      </right>
      <top style="thick">
        <color theme="3" tint="0.79998168889431442"/>
      </top>
      <bottom style="thick">
        <color theme="3" tint="0.79998168889431442"/>
      </bottom>
      <diagonal/>
    </border>
    <border>
      <left style="medium">
        <color theme="4" tint="0.39997558519241921"/>
      </left>
      <right style="thick">
        <color theme="3" tint="0.79998168889431442"/>
      </right>
      <top style="thick">
        <color theme="3" tint="0.79998168889431442"/>
      </top>
      <bottom style="medium">
        <color theme="4" tint="0.39997558519241921"/>
      </bottom>
      <diagonal/>
    </border>
    <border>
      <left style="thick">
        <color theme="3" tint="0.79998168889431442"/>
      </left>
      <right style="thick">
        <color theme="3" tint="0.79998168889431442"/>
      </right>
      <top style="thick">
        <color theme="3" tint="0.79998168889431442"/>
      </top>
      <bottom style="medium">
        <color theme="4" tint="0.39997558519241921"/>
      </bottom>
      <diagonal/>
    </border>
    <border>
      <left style="medium">
        <color rgb="FF002060"/>
      </left>
      <right style="thick">
        <color theme="3" tint="0.79998168889431442"/>
      </right>
      <top style="thick">
        <color theme="3" tint="0.79998168889431442"/>
      </top>
      <bottom style="medium">
        <color rgb="FF002060"/>
      </bottom>
      <diagonal/>
    </border>
    <border>
      <left style="thick">
        <color theme="3" tint="0.79998168889431442"/>
      </left>
      <right style="thick">
        <color theme="3" tint="0.79998168889431442"/>
      </right>
      <top style="thick">
        <color theme="3" tint="0.79998168889431442"/>
      </top>
      <bottom style="medium">
        <color rgb="FF002060"/>
      </bottom>
      <diagonal/>
    </border>
    <border>
      <left style="thick">
        <color theme="3" tint="0.79998168889431442"/>
      </left>
      <right style="medium">
        <color rgb="FF002060"/>
      </right>
      <top style="thick">
        <color theme="3" tint="0.79998168889431442"/>
      </top>
      <bottom style="medium">
        <color rgb="FF002060"/>
      </bottom>
      <diagonal/>
    </border>
    <border>
      <left/>
      <right style="medium">
        <color rgb="FF002060"/>
      </right>
      <top style="medium">
        <color theme="4" tint="0.39997558519241921"/>
      </top>
      <bottom style="medium">
        <color theme="4" tint="0.39997558519241921"/>
      </bottom>
      <diagonal/>
    </border>
    <border>
      <left/>
      <right style="thick">
        <color theme="3" tint="0.79998168889431442"/>
      </right>
      <top style="thick">
        <color theme="3" tint="0.79998168889431442"/>
      </top>
      <bottom style="medium">
        <color rgb="FF002060"/>
      </bottom>
      <diagonal/>
    </border>
    <border>
      <left/>
      <right style="medium">
        <color indexed="64"/>
      </right>
      <top style="thick">
        <color theme="3" tint="0.79998168889431442"/>
      </top>
      <bottom style="thick">
        <color theme="3" tint="0.79998168889431442"/>
      </bottom>
      <diagonal/>
    </border>
    <border>
      <left/>
      <right style="thick">
        <color theme="3" tint="0.79998168889431442"/>
      </right>
      <top/>
      <bottom style="thick">
        <color theme="3" tint="0.79998168889431442"/>
      </bottom>
      <diagonal/>
    </border>
    <border>
      <left/>
      <right style="thick">
        <color theme="3" tint="0.79998168889431442"/>
      </right>
      <top style="thick">
        <color theme="3" tint="0.79998168889431442"/>
      </top>
      <bottom style="medium">
        <color theme="4" tint="0.39997558519241921"/>
      </bottom>
      <diagonal/>
    </border>
    <border>
      <left style="medium">
        <color theme="2" tint="-9.9978637043366805E-2"/>
      </left>
      <right/>
      <top style="thick">
        <color theme="3" tint="0.79998168889431442"/>
      </top>
      <bottom style="thick">
        <color theme="3" tint="0.7999816888943144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ck">
        <color theme="3" tint="0.79998168889431442"/>
      </left>
      <right/>
      <top style="thick">
        <color theme="3" tint="0.79998168889431442"/>
      </top>
      <bottom style="medium">
        <color theme="4" tint="0.39997558519241921"/>
      </bottom>
      <diagonal/>
    </border>
    <border>
      <left style="thick">
        <color theme="3" tint="0.79998168889431442"/>
      </left>
      <right style="thick">
        <color theme="3" tint="0.79998168889431442"/>
      </right>
      <top style="thick">
        <color theme="3" tint="0.79998168889431442"/>
      </top>
      <bottom/>
      <diagonal/>
    </border>
    <border>
      <left style="medium">
        <color theme="4" tint="0.39997558519241921"/>
      </left>
      <right style="thick">
        <color theme="3" tint="0.79998168889431442"/>
      </right>
      <top style="thick">
        <color theme="3" tint="0.79998168889431442"/>
      </top>
      <bottom style="medium">
        <color rgb="FF9FBFFF"/>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3" fillId="3" borderId="1" xfId="0" applyFont="1" applyFill="1" applyBorder="1" applyAlignment="1">
      <alignment horizontal="center"/>
    </xf>
    <xf numFmtId="0" fontId="3" fillId="3" borderId="1" xfId="0" applyFont="1" applyFill="1" applyBorder="1" applyAlignment="1">
      <alignment horizontal="center" wrapText="1"/>
    </xf>
    <xf numFmtId="0" fontId="2" fillId="0" borderId="1" xfId="0" applyFont="1" applyBorder="1"/>
    <xf numFmtId="44" fontId="2" fillId="0" borderId="1" xfId="2" applyFont="1" applyBorder="1"/>
    <xf numFmtId="44" fontId="2" fillId="0" borderId="1" xfId="0" applyNumberFormat="1" applyFont="1" applyBorder="1"/>
    <xf numFmtId="164" fontId="2" fillId="0" borderId="1" xfId="3" applyNumberFormat="1" applyFont="1" applyBorder="1"/>
    <xf numFmtId="43" fontId="2" fillId="0" borderId="1" xfId="1" applyFont="1" applyBorder="1"/>
    <xf numFmtId="164" fontId="0" fillId="0" borderId="0" xfId="3" applyNumberFormat="1" applyFont="1"/>
    <xf numFmtId="10" fontId="0" fillId="0" borderId="0" xfId="3" applyNumberFormat="1" applyFont="1"/>
    <xf numFmtId="0" fontId="3" fillId="4" borderId="0" xfId="0" applyFont="1" applyFill="1"/>
    <xf numFmtId="44" fontId="3" fillId="4" borderId="0" xfId="0" applyNumberFormat="1" applyFont="1" applyFill="1"/>
    <xf numFmtId="9" fontId="3" fillId="4" borderId="0" xfId="3" applyFont="1" applyFill="1"/>
    <xf numFmtId="164" fontId="3" fillId="4" borderId="0" xfId="3" applyNumberFormat="1" applyFont="1" applyFill="1"/>
    <xf numFmtId="164" fontId="3" fillId="0" borderId="1" xfId="3" applyNumberFormat="1" applyFont="1" applyBorder="1"/>
    <xf numFmtId="0" fontId="4" fillId="0" borderId="0" xfId="0" applyFont="1"/>
    <xf numFmtId="165" fontId="2" fillId="0" borderId="0" xfId="2" applyNumberFormat="1" applyFont="1" applyBorder="1" applyAlignment="1"/>
    <xf numFmtId="0" fontId="7" fillId="5" borderId="1" xfId="0" applyFont="1" applyFill="1" applyBorder="1" applyAlignment="1">
      <alignment horizontal="center"/>
    </xf>
    <xf numFmtId="0" fontId="7" fillId="5" borderId="1" xfId="0" applyFont="1" applyFill="1" applyBorder="1" applyAlignment="1">
      <alignment horizontal="center" wrapText="1"/>
    </xf>
    <xf numFmtId="10" fontId="0" fillId="0" borderId="0" xfId="0" applyNumberFormat="1"/>
    <xf numFmtId="0" fontId="5" fillId="0" borderId="0" xfId="0" applyFont="1"/>
    <xf numFmtId="0" fontId="2" fillId="0" borderId="0" xfId="0" applyFont="1"/>
    <xf numFmtId="164" fontId="2" fillId="0" borderId="1" xfId="0" applyNumberFormat="1" applyFont="1" applyBorder="1"/>
    <xf numFmtId="164" fontId="2" fillId="0" borderId="0" xfId="0" applyNumberFormat="1" applyFont="1"/>
    <xf numFmtId="0" fontId="2" fillId="0" borderId="0" xfId="0" applyFont="1" applyAlignment="1">
      <alignment wrapText="1"/>
    </xf>
    <xf numFmtId="0" fontId="3" fillId="0" borderId="5" xfId="0" applyFont="1" applyBorder="1" applyAlignment="1">
      <alignment horizontal="center"/>
    </xf>
    <xf numFmtId="0" fontId="12" fillId="0" borderId="0" xfId="0" applyFont="1" applyAlignment="1">
      <alignment horizontal="left"/>
    </xf>
    <xf numFmtId="0" fontId="2" fillId="0" borderId="4" xfId="0" applyFont="1" applyBorder="1"/>
    <xf numFmtId="44" fontId="0" fillId="0" borderId="0" xfId="0" applyNumberFormat="1"/>
    <xf numFmtId="166" fontId="0" fillId="0" borderId="0" xfId="2" applyNumberFormat="1" applyFont="1"/>
    <xf numFmtId="0" fontId="15" fillId="0" borderId="0" xfId="0" applyFont="1"/>
    <xf numFmtId="0" fontId="3" fillId="3" borderId="12" xfId="0" applyFont="1" applyFill="1" applyBorder="1" applyAlignment="1">
      <alignment horizontal="center"/>
    </xf>
    <xf numFmtId="0" fontId="3" fillId="2" borderId="13" xfId="0" applyFont="1" applyFill="1" applyBorder="1" applyAlignment="1">
      <alignment horizontal="center"/>
    </xf>
    <xf numFmtId="0" fontId="3" fillId="2" borderId="15" xfId="0" applyFont="1" applyFill="1" applyBorder="1" applyAlignment="1">
      <alignment horizontal="center" wrapText="1"/>
    </xf>
    <xf numFmtId="0" fontId="16" fillId="6" borderId="1" xfId="0" applyFont="1" applyFill="1" applyBorder="1" applyAlignment="1">
      <alignment horizontal="center"/>
    </xf>
    <xf numFmtId="0" fontId="16" fillId="6" borderId="16" xfId="0" applyFont="1" applyFill="1" applyBorder="1" applyAlignment="1">
      <alignment horizontal="center" wrapText="1"/>
    </xf>
    <xf numFmtId="0" fontId="3" fillId="3" borderId="6" xfId="0" applyFont="1" applyFill="1" applyBorder="1" applyAlignment="1">
      <alignment horizontal="center" wrapText="1"/>
    </xf>
    <xf numFmtId="0" fontId="2" fillId="0" borderId="12" xfId="0" applyFont="1" applyBorder="1"/>
    <xf numFmtId="164" fontId="2" fillId="0" borderId="16" xfId="3" applyNumberFormat="1" applyFont="1" applyBorder="1"/>
    <xf numFmtId="164" fontId="2" fillId="0" borderId="6" xfId="0" applyNumberFormat="1" applyFont="1" applyBorder="1"/>
    <xf numFmtId="43" fontId="2" fillId="0" borderId="18" xfId="1" applyFont="1" applyBorder="1"/>
    <xf numFmtId="44" fontId="2" fillId="0" borderId="19" xfId="2" applyFont="1" applyBorder="1"/>
    <xf numFmtId="43" fontId="2" fillId="0" borderId="20" xfId="1" applyFont="1" applyBorder="1"/>
    <xf numFmtId="44" fontId="2" fillId="0" borderId="21" xfId="2" applyFont="1" applyBorder="1"/>
    <xf numFmtId="164" fontId="2" fillId="0" borderId="22" xfId="3" applyNumberFormat="1" applyFont="1" applyBorder="1"/>
    <xf numFmtId="43" fontId="2" fillId="0" borderId="0" xfId="1" applyFont="1" applyBorder="1"/>
    <xf numFmtId="44" fontId="2" fillId="0" borderId="0" xfId="2" applyFont="1" applyBorder="1"/>
    <xf numFmtId="164" fontId="2" fillId="0" borderId="0" xfId="3" applyNumberFormat="1" applyFont="1" applyBorder="1"/>
    <xf numFmtId="164" fontId="3" fillId="4" borderId="0" xfId="0" applyNumberFormat="1" applyFont="1" applyFill="1"/>
    <xf numFmtId="44" fontId="3" fillId="4" borderId="0" xfId="2" applyFont="1" applyFill="1"/>
    <xf numFmtId="0" fontId="3" fillId="0" borderId="0" xfId="0" applyFont="1"/>
    <xf numFmtId="44" fontId="3" fillId="0" borderId="0" xfId="0" applyNumberFormat="1" applyFont="1"/>
    <xf numFmtId="164" fontId="3" fillId="0" borderId="0" xfId="0" applyNumberFormat="1" applyFont="1"/>
    <xf numFmtId="44" fontId="3" fillId="0" borderId="0" xfId="2" applyFont="1" applyFill="1"/>
    <xf numFmtId="0" fontId="3" fillId="0" borderId="1" xfId="0" applyFont="1" applyBorder="1"/>
    <xf numFmtId="0" fontId="4" fillId="0" borderId="0" xfId="0" applyFont="1" applyAlignment="1">
      <alignment horizontal="left"/>
    </xf>
    <xf numFmtId="43" fontId="2" fillId="0" borderId="24" xfId="1" applyFont="1" applyBorder="1"/>
    <xf numFmtId="164" fontId="2" fillId="0" borderId="25" xfId="3" applyNumberFormat="1" applyFont="1" applyBorder="1"/>
    <xf numFmtId="9" fontId="2" fillId="0" borderId="19" xfId="3" applyFont="1" applyBorder="1"/>
    <xf numFmtId="164" fontId="2" fillId="0" borderId="19" xfId="3" applyNumberFormat="1" applyFont="1" applyBorder="1"/>
    <xf numFmtId="43" fontId="2" fillId="0" borderId="27" xfId="1" applyFont="1" applyBorder="1"/>
    <xf numFmtId="0" fontId="3" fillId="2" borderId="26" xfId="0" applyFont="1" applyFill="1" applyBorder="1" applyAlignment="1">
      <alignment horizontal="center" wrapText="1"/>
    </xf>
    <xf numFmtId="0" fontId="16" fillId="6" borderId="6" xfId="0" applyFont="1" applyFill="1" applyBorder="1" applyAlignment="1">
      <alignment horizontal="center" wrapText="1"/>
    </xf>
    <xf numFmtId="0" fontId="3" fillId="2" borderId="14" xfId="0" applyFont="1" applyFill="1" applyBorder="1" applyAlignment="1">
      <alignment horizontal="center" wrapText="1"/>
    </xf>
    <xf numFmtId="44" fontId="2" fillId="0" borderId="6" xfId="2" applyFont="1" applyBorder="1"/>
    <xf numFmtId="165" fontId="20" fillId="0" borderId="0" xfId="2" applyNumberFormat="1" applyFont="1"/>
    <xf numFmtId="0" fontId="2" fillId="0" borderId="1" xfId="0" applyFont="1" applyBorder="1" applyAlignment="1">
      <alignment horizontal="center"/>
    </xf>
    <xf numFmtId="0" fontId="2" fillId="0" borderId="1" xfId="0" applyFont="1" applyBorder="1" applyAlignment="1">
      <alignment horizontal="center" vertical="center"/>
    </xf>
    <xf numFmtId="167" fontId="2" fillId="0" borderId="1" xfId="1" applyNumberFormat="1" applyFont="1" applyBorder="1"/>
    <xf numFmtId="44" fontId="2" fillId="0" borderId="0" xfId="0" applyNumberFormat="1" applyFont="1"/>
    <xf numFmtId="43" fontId="2" fillId="0" borderId="1" xfId="0" applyNumberFormat="1" applyFont="1" applyBorder="1"/>
    <xf numFmtId="0" fontId="7" fillId="5" borderId="12" xfId="0" applyFont="1" applyFill="1" applyBorder="1" applyAlignment="1">
      <alignment horizontal="center"/>
    </xf>
    <xf numFmtId="0" fontId="7" fillId="5" borderId="1" xfId="0" applyFont="1" applyFill="1" applyBorder="1" applyAlignment="1">
      <alignment horizontal="center" vertical="center" wrapText="1"/>
    </xf>
    <xf numFmtId="0" fontId="7" fillId="5" borderId="12" xfId="0" applyFont="1" applyFill="1" applyBorder="1" applyAlignment="1">
      <alignment horizontal="center" vertical="center" wrapText="1"/>
    </xf>
    <xf numFmtId="9" fontId="3" fillId="0" borderId="0" xfId="3" applyFont="1" applyFill="1"/>
    <xf numFmtId="0" fontId="13" fillId="0" borderId="0" xfId="0" applyFont="1"/>
    <xf numFmtId="168" fontId="19" fillId="0" borderId="0" xfId="0" applyNumberFormat="1" applyFont="1"/>
    <xf numFmtId="44" fontId="11" fillId="4" borderId="1" xfId="2" applyFont="1" applyFill="1" applyBorder="1" applyProtection="1">
      <protection locked="0"/>
    </xf>
    <xf numFmtId="165" fontId="7" fillId="5" borderId="2" xfId="2" applyNumberFormat="1" applyFont="1" applyFill="1" applyBorder="1" applyAlignment="1" applyProtection="1">
      <protection locked="0"/>
    </xf>
    <xf numFmtId="0" fontId="22" fillId="0" borderId="0" xfId="0" applyFont="1"/>
    <xf numFmtId="0" fontId="23" fillId="0" borderId="0" xfId="0" applyFont="1" applyAlignment="1">
      <alignment vertical="center" wrapText="1"/>
    </xf>
    <xf numFmtId="0" fontId="27" fillId="0" borderId="0" xfId="0" applyFont="1"/>
    <xf numFmtId="0" fontId="28" fillId="0" borderId="0" xfId="0" applyFont="1"/>
    <xf numFmtId="0" fontId="24" fillId="7" borderId="0" xfId="0" applyFont="1" applyFill="1" applyAlignment="1">
      <alignment vertical="center"/>
    </xf>
    <xf numFmtId="0" fontId="25" fillId="7" borderId="0" xfId="0" applyFont="1" applyFill="1" applyAlignment="1">
      <alignment vertical="center"/>
    </xf>
    <xf numFmtId="0" fontId="24" fillId="3" borderId="0" xfId="0" applyFont="1" applyFill="1" applyAlignment="1">
      <alignment vertical="center"/>
    </xf>
    <xf numFmtId="0" fontId="25" fillId="3" borderId="0" xfId="0" applyFont="1" applyFill="1" applyAlignment="1">
      <alignment vertical="center"/>
    </xf>
    <xf numFmtId="165" fontId="31" fillId="6" borderId="29" xfId="2" applyNumberFormat="1" applyFont="1" applyFill="1" applyBorder="1" applyAlignment="1">
      <alignment horizontal="left" vertical="center"/>
    </xf>
    <xf numFmtId="43" fontId="0" fillId="0" borderId="0" xfId="0" applyNumberFormat="1"/>
    <xf numFmtId="10" fontId="3" fillId="0" borderId="0" xfId="0" applyNumberFormat="1" applyFont="1"/>
    <xf numFmtId="0" fontId="11" fillId="4" borderId="17" xfId="0" applyFont="1" applyFill="1" applyBorder="1" applyProtection="1">
      <protection locked="0"/>
    </xf>
    <xf numFmtId="44" fontId="11" fillId="4" borderId="6" xfId="2" applyFont="1" applyFill="1" applyBorder="1" applyProtection="1">
      <protection locked="0"/>
    </xf>
    <xf numFmtId="44" fontId="11" fillId="4" borderId="1" xfId="0" applyNumberFormat="1" applyFont="1" applyFill="1" applyBorder="1" applyProtection="1">
      <protection locked="0"/>
    </xf>
    <xf numFmtId="0" fontId="13" fillId="0" borderId="0" xfId="0" applyFont="1" applyAlignment="1">
      <alignment horizontal="left" wrapText="1"/>
    </xf>
    <xf numFmtId="0" fontId="33" fillId="0" borderId="0" xfId="0" applyFont="1"/>
    <xf numFmtId="43" fontId="33" fillId="0" borderId="1" xfId="0" applyNumberFormat="1" applyFont="1" applyBorder="1"/>
    <xf numFmtId="10" fontId="33" fillId="0" borderId="0" xfId="3" applyNumberFormat="1" applyFont="1"/>
    <xf numFmtId="0" fontId="2" fillId="0" borderId="0" xfId="0" applyFont="1" applyAlignment="1">
      <alignment horizontal="left"/>
    </xf>
    <xf numFmtId="0" fontId="31" fillId="6" borderId="29" xfId="0" applyFont="1" applyFill="1" applyBorder="1" applyAlignment="1">
      <alignment horizontal="center"/>
    </xf>
    <xf numFmtId="0" fontId="17" fillId="0" borderId="0" xfId="0" applyFont="1" applyAlignment="1">
      <alignment horizontal="left"/>
    </xf>
    <xf numFmtId="167" fontId="2" fillId="0" borderId="0" xfId="1" applyNumberFormat="1" applyFont="1" applyBorder="1"/>
    <xf numFmtId="9" fontId="31" fillId="6" borderId="29" xfId="3" applyFont="1" applyFill="1" applyBorder="1" applyAlignment="1">
      <alignment horizontal="right" vertical="center"/>
    </xf>
    <xf numFmtId="0" fontId="32" fillId="0" borderId="0" xfId="0" applyFont="1" applyAlignment="1">
      <alignment vertical="center" wrapText="1"/>
    </xf>
    <xf numFmtId="164" fontId="3" fillId="0" borderId="0" xfId="0" applyNumberFormat="1" applyFont="1" applyAlignment="1">
      <alignment horizontal="center"/>
    </xf>
    <xf numFmtId="164" fontId="2" fillId="4" borderId="0" xfId="0" applyNumberFormat="1" applyFont="1" applyFill="1"/>
    <xf numFmtId="169" fontId="0" fillId="0" borderId="0" xfId="3" applyNumberFormat="1" applyFont="1"/>
    <xf numFmtId="164" fontId="2" fillId="4" borderId="0" xfId="0" applyNumberFormat="1" applyFont="1" applyFill="1" applyAlignment="1">
      <alignment horizontal="right"/>
    </xf>
    <xf numFmtId="164" fontId="2" fillId="0" borderId="0" xfId="0" applyNumberFormat="1" applyFont="1" applyAlignment="1">
      <alignment horizontal="right"/>
    </xf>
    <xf numFmtId="10" fontId="34" fillId="0" borderId="0" xfId="3" applyNumberFormat="1" applyFont="1"/>
    <xf numFmtId="165" fontId="31" fillId="6" borderId="29" xfId="2" applyNumberFormat="1" applyFont="1" applyFill="1" applyBorder="1" applyAlignment="1">
      <alignment horizontal="right" vertical="center"/>
    </xf>
    <xf numFmtId="2" fontId="2" fillId="0" borderId="17" xfId="0" applyNumberFormat="1" applyFont="1" applyBorder="1"/>
    <xf numFmtId="2" fontId="2" fillId="0" borderId="1" xfId="0" applyNumberFormat="1" applyFont="1" applyBorder="1"/>
    <xf numFmtId="0" fontId="3" fillId="2" borderId="7" xfId="0" applyFont="1" applyFill="1" applyBorder="1"/>
    <xf numFmtId="0" fontId="37" fillId="0" borderId="0" xfId="0" applyFont="1"/>
    <xf numFmtId="0" fontId="38" fillId="0" borderId="0" xfId="0" applyFont="1"/>
    <xf numFmtId="164" fontId="37" fillId="0" borderId="0" xfId="3" applyNumberFormat="1" applyFont="1"/>
    <xf numFmtId="168" fontId="2" fillId="0" borderId="0" xfId="0" applyNumberFormat="1" applyFont="1"/>
    <xf numFmtId="0" fontId="3" fillId="3" borderId="1" xfId="0" applyFont="1" applyFill="1" applyBorder="1" applyAlignment="1">
      <alignment horizontal="center" vertical="center" wrapText="1"/>
    </xf>
    <xf numFmtId="164" fontId="2" fillId="0" borderId="30" xfId="3" applyNumberFormat="1" applyFont="1" applyBorder="1"/>
    <xf numFmtId="165" fontId="21" fillId="4" borderId="2" xfId="2" applyNumberFormat="1" applyFont="1" applyFill="1" applyBorder="1" applyAlignment="1" applyProtection="1">
      <protection locked="0"/>
    </xf>
    <xf numFmtId="0" fontId="39" fillId="0" borderId="0" xfId="0" applyFont="1"/>
    <xf numFmtId="0" fontId="2" fillId="9" borderId="1" xfId="0" applyFont="1" applyFill="1" applyBorder="1"/>
    <xf numFmtId="0" fontId="2" fillId="9" borderId="12" xfId="0" applyFont="1" applyFill="1" applyBorder="1"/>
    <xf numFmtId="0" fontId="2" fillId="10" borderId="1" xfId="0" applyFont="1" applyFill="1" applyBorder="1"/>
    <xf numFmtId="0" fontId="2" fillId="10" borderId="12" xfId="0" applyFont="1" applyFill="1" applyBorder="1"/>
    <xf numFmtId="0" fontId="2" fillId="11" borderId="1" xfId="0" applyFont="1" applyFill="1" applyBorder="1"/>
    <xf numFmtId="0" fontId="2" fillId="11" borderId="12" xfId="0" applyFont="1" applyFill="1" applyBorder="1"/>
    <xf numFmtId="9" fontId="2" fillId="0" borderId="1" xfId="3" applyFont="1" applyBorder="1"/>
    <xf numFmtId="9" fontId="2" fillId="0" borderId="31" xfId="3" applyFont="1" applyBorder="1"/>
    <xf numFmtId="44" fontId="2" fillId="0" borderId="20" xfId="2" applyFont="1" applyBorder="1"/>
    <xf numFmtId="9" fontId="2" fillId="0" borderId="30" xfId="3" applyFont="1" applyBorder="1"/>
    <xf numFmtId="43" fontId="11" fillId="4" borderId="32" xfId="1" applyFont="1" applyFill="1" applyBorder="1" applyProtection="1">
      <protection locked="0"/>
    </xf>
    <xf numFmtId="14" fontId="3" fillId="3" borderId="1" xfId="0" applyNumberFormat="1" applyFont="1" applyFill="1" applyBorder="1" applyAlignment="1">
      <alignment horizontal="center"/>
    </xf>
    <xf numFmtId="2" fontId="41" fillId="0" borderId="13" xfId="0" applyNumberFormat="1" applyFont="1" applyBorder="1"/>
    <xf numFmtId="44" fontId="41" fillId="0" borderId="13" xfId="2" applyFont="1" applyBorder="1"/>
    <xf numFmtId="0" fontId="3" fillId="2" borderId="7" xfId="0" applyFont="1" applyFill="1" applyBorder="1" applyAlignment="1">
      <alignment horizontal="center" vertical="center" wrapText="1"/>
    </xf>
    <xf numFmtId="164" fontId="41" fillId="0" borderId="13" xfId="3" applyNumberFormat="1" applyFont="1" applyBorder="1"/>
    <xf numFmtId="0" fontId="38" fillId="8" borderId="0" xfId="0" applyFont="1" applyFill="1" applyAlignment="1">
      <alignment horizontal="left" vertical="center"/>
    </xf>
    <xf numFmtId="0" fontId="30" fillId="12" borderId="0" xfId="0" applyFont="1" applyFill="1"/>
    <xf numFmtId="43" fontId="41" fillId="0" borderId="13" xfId="1" applyFont="1" applyBorder="1"/>
    <xf numFmtId="15" fontId="43" fillId="8" borderId="0" xfId="0" applyNumberFormat="1" applyFont="1" applyFill="1" applyAlignment="1">
      <alignment horizontal="left" vertical="center"/>
    </xf>
    <xf numFmtId="0" fontId="25" fillId="0" borderId="0" xfId="0" applyFont="1"/>
    <xf numFmtId="164" fontId="25" fillId="0" borderId="0" xfId="0" applyNumberFormat="1" applyFont="1"/>
    <xf numFmtId="0" fontId="32" fillId="0" borderId="0" xfId="0" applyFont="1" applyAlignment="1">
      <alignment horizontal="left" vertical="center" wrapText="1"/>
    </xf>
    <xf numFmtId="0" fontId="24" fillId="7" borderId="0" xfId="0" applyFont="1" applyFill="1" applyAlignment="1">
      <alignment horizontal="left" vertical="center" wrapText="1"/>
    </xf>
    <xf numFmtId="0" fontId="24" fillId="3" borderId="0" xfId="0" applyFont="1" applyFill="1" applyAlignment="1">
      <alignment horizontal="left" vertical="center" wrapText="1"/>
    </xf>
    <xf numFmtId="0" fontId="35" fillId="6" borderId="0" xfId="0" applyFont="1" applyFill="1" applyAlignment="1">
      <alignment horizontal="left" vertical="center" wrapText="1"/>
    </xf>
    <xf numFmtId="0" fontId="27" fillId="4" borderId="0" xfId="0" applyFont="1" applyFill="1" applyAlignment="1">
      <alignment horizontal="left"/>
    </xf>
    <xf numFmtId="0" fontId="36" fillId="0" borderId="0" xfId="0" applyFont="1" applyAlignment="1">
      <alignment horizontal="left" wrapText="1"/>
    </xf>
    <xf numFmtId="0" fontId="32" fillId="0" borderId="0" xfId="0" applyFont="1" applyAlignment="1">
      <alignment horizontal="left"/>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13" fillId="2" borderId="0" xfId="0" applyFont="1" applyFill="1" applyAlignment="1">
      <alignment horizontal="left" wrapText="1"/>
    </xf>
    <xf numFmtId="0" fontId="13" fillId="2" borderId="0" xfId="0" applyFont="1" applyFill="1" applyAlignment="1">
      <alignment horizontal="left"/>
    </xf>
    <xf numFmtId="0" fontId="18" fillId="6" borderId="0" xfId="0" applyFont="1" applyFill="1" applyAlignment="1">
      <alignment horizontal="left"/>
    </xf>
    <xf numFmtId="0" fontId="8" fillId="5" borderId="3" xfId="0" applyFont="1" applyFill="1" applyBorder="1" applyAlignment="1">
      <alignment horizontal="left"/>
    </xf>
    <xf numFmtId="0" fontId="6" fillId="0" borderId="0" xfId="0" applyFont="1" applyAlignment="1">
      <alignment horizontal="left"/>
    </xf>
    <xf numFmtId="0" fontId="14" fillId="0" borderId="2" xfId="0" applyFont="1" applyBorder="1" applyAlignment="1">
      <alignment horizontal="left"/>
    </xf>
    <xf numFmtId="0" fontId="18" fillId="6" borderId="0" xfId="0" applyFont="1" applyFill="1" applyAlignment="1">
      <alignment horizontal="left" wrapText="1"/>
    </xf>
    <xf numFmtId="0" fontId="29" fillId="2" borderId="0" xfId="0" applyFont="1" applyFill="1" applyAlignment="1">
      <alignment horizontal="left"/>
    </xf>
    <xf numFmtId="0" fontId="16" fillId="6" borderId="9" xfId="0" applyFont="1" applyFill="1" applyBorder="1" applyAlignment="1">
      <alignment horizontal="center"/>
    </xf>
    <xf numFmtId="0" fontId="16" fillId="6" borderId="10" xfId="0" applyFont="1" applyFill="1" applyBorder="1" applyAlignment="1">
      <alignment horizontal="center"/>
    </xf>
    <xf numFmtId="0" fontId="16" fillId="6" borderId="11" xfId="0" applyFont="1" applyFill="1" applyBorder="1" applyAlignment="1">
      <alignment horizontal="center"/>
    </xf>
    <xf numFmtId="0" fontId="16" fillId="0" borderId="0" xfId="0" applyFont="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23" xfId="0" applyFont="1" applyFill="1" applyBorder="1" applyAlignment="1">
      <alignment horizontal="center"/>
    </xf>
    <xf numFmtId="0" fontId="8" fillId="5" borderId="0" xfId="0" applyFont="1" applyFill="1" applyAlignment="1">
      <alignment horizontal="left"/>
    </xf>
  </cellXfs>
  <cellStyles count="4">
    <cellStyle name="Millares" xfId="1" builtinId="3"/>
    <cellStyle name="Moneda" xfId="2" builtinId="4"/>
    <cellStyle name="Normal" xfId="0" builtinId="0"/>
    <cellStyle name="Porcentaje" xfId="3" builtinId="5"/>
  </cellStyles>
  <dxfs count="35">
    <dxf>
      <font>
        <color rgb="FF006100"/>
      </font>
      <fill>
        <patternFill>
          <bgColor rgb="FFC6EFCE"/>
        </patternFill>
      </fill>
    </dxf>
    <dxf>
      <font>
        <color rgb="FF9C0006"/>
      </font>
      <fill>
        <patternFill>
          <bgColor rgb="FFFFC7CE"/>
        </patternFill>
      </fill>
    </dxf>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7847C9"/>
        </patternFill>
      </fill>
    </dxf>
  </dxfs>
  <tableStyles count="0" defaultTableStyle="TableStyleMedium2" defaultPivotStyle="PivotStyleLight16"/>
  <colors>
    <mruColors>
      <color rgb="FF9FBFFF"/>
      <color rgb="FFFEC2BA"/>
      <color rgb="FF784FC9"/>
      <color rgb="FF8F45C7"/>
      <color rgb="FF7847C9"/>
      <color rgb="FF8C47C5"/>
      <color rgb="FFCDACE6"/>
      <color rgb="FFF325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89524135570011"/>
          <c:y val="5.75922876560582E-2"/>
          <c:w val="0.83413693940431355"/>
          <c:h val="0.81993652884644175"/>
        </c:manualLayout>
      </c:layout>
      <c:lineChart>
        <c:grouping val="standard"/>
        <c:varyColors val="0"/>
        <c:ser>
          <c:idx val="0"/>
          <c:order val="0"/>
          <c:tx>
            <c:strRef>
              <c:f>Estrategia!$B$23</c:f>
              <c:strCache>
                <c:ptCount val="1"/>
                <c:pt idx="0">
                  <c:v>PORTAFOLIO</c:v>
                </c:pt>
              </c:strCache>
            </c:strRef>
          </c:tx>
          <c:spPr>
            <a:ln w="34925" cap="rnd">
              <a:solidFill>
                <a:srgbClr val="784FC9"/>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6748510783978091"/>
                      <c:h val="0.16422639477757586"/>
                    </c:manualLayout>
                  </c15:layout>
                </c:ext>
                <c:ext xmlns:c16="http://schemas.microsoft.com/office/drawing/2014/chart" uri="{C3380CC4-5D6E-409C-BE32-E72D297353CC}">
                  <c16:uniqueId val="{00000004-B146-4F36-9DA1-846BA18A4354}"/>
                </c:ext>
              </c:extLst>
            </c:dLbl>
            <c:dLbl>
              <c:idx val="6"/>
              <c:layout>
                <c:manualLayout>
                  <c:x val="-0.20434799726121192"/>
                  <c:y val="-7.604562737642595E-3"/>
                </c:manualLayout>
              </c:layout>
              <c:showLegendKey val="0"/>
              <c:showVal val="1"/>
              <c:showCatName val="0"/>
              <c:showSerName val="1"/>
              <c:showPercent val="0"/>
              <c:showBubbleSize val="0"/>
              <c:extLst>
                <c:ext xmlns:c15="http://schemas.microsoft.com/office/drawing/2012/chart" uri="{CE6537A1-D6FC-4f65-9D91-7224C49458BB}">
                  <c15:layout>
                    <c:manualLayout>
                      <c:w val="0.30226771653543305"/>
                      <c:h val="8.5281279003622631E-2"/>
                    </c:manualLayout>
                  </c15:layout>
                </c:ext>
                <c:ext xmlns:c16="http://schemas.microsoft.com/office/drawing/2014/chart" uri="{C3380CC4-5D6E-409C-BE32-E72D297353CC}">
                  <c16:uniqueId val="{00000000-207D-4D8F-BEFB-1A492183B058}"/>
                </c:ext>
              </c:extLst>
            </c:dLbl>
            <c:numFmt formatCode="0.0%" sourceLinked="0"/>
            <c:spPr>
              <a:solidFill>
                <a:sysClr val="window" lastClr="FFFFFF"/>
              </a:solidFill>
              <a:ln>
                <a:solidFill>
                  <a:srgbClr val="784FC9"/>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Estrategia!$C$23:$I$23</c:f>
              <c:numCache>
                <c:formatCode>0.0%</c:formatCode>
                <c:ptCount val="7"/>
                <c:pt idx="0">
                  <c:v>0.26809348504535935</c:v>
                </c:pt>
                <c:pt idx="1">
                  <c:v>0.82559899606657994</c:v>
                </c:pt>
                <c:pt idx="2">
                  <c:v>0.58449015142128402</c:v>
                </c:pt>
                <c:pt idx="3">
                  <c:v>1.0235371311795274</c:v>
                </c:pt>
                <c:pt idx="4">
                  <c:v>1.3437892603719515</c:v>
                </c:pt>
                <c:pt idx="5">
                  <c:v>1.5364148640158948</c:v>
                </c:pt>
                <c:pt idx="6">
                  <c:v>1.5684341185572386</c:v>
                </c:pt>
              </c:numCache>
            </c:numRef>
          </c:val>
          <c:smooth val="0"/>
          <c:extLst>
            <c:ext xmlns:c16="http://schemas.microsoft.com/office/drawing/2014/chart" uri="{C3380CC4-5D6E-409C-BE32-E72D297353CC}">
              <c16:uniqueId val="{00000000-5A5A-4C8D-8EC2-42D5E6DF4B4E}"/>
            </c:ext>
          </c:extLst>
        </c:ser>
        <c:ser>
          <c:idx val="1"/>
          <c:order val="1"/>
          <c:tx>
            <c:strRef>
              <c:f>Estrategia!#REF!</c:f>
              <c:strCache>
                <c:ptCount val="1"/>
                <c:pt idx="0">
                  <c:v>#¡REF!</c:v>
                </c:pt>
              </c:strCache>
            </c:strRef>
          </c:tx>
          <c:spPr>
            <a:ln w="19050" cap="rnd">
              <a:solidFill>
                <a:schemeClr val="accent6">
                  <a:alpha val="50000"/>
                </a:schemeClr>
              </a:solidFill>
              <a:round/>
            </a:ln>
            <a:effectLst>
              <a:outerShdw blurRad="57150" dist="19050" dir="5400000" algn="ctr" rotWithShape="0">
                <a:srgbClr val="000000">
                  <a:alpha val="63000"/>
                </a:srgbClr>
              </a:outerShdw>
            </a:effectLst>
          </c:spPr>
          <c:marker>
            <c:symbol val="none"/>
          </c:marker>
          <c:cat>
            <c:strRef>
              <c:f>Estrategia!$C$22:$I$22</c:f>
              <c:strCache>
                <c:ptCount val="7"/>
                <c:pt idx="0">
                  <c:v>2020</c:v>
                </c:pt>
                <c:pt idx="1">
                  <c:v>2021</c:v>
                </c:pt>
                <c:pt idx="2">
                  <c:v>2022</c:v>
                </c:pt>
                <c:pt idx="3">
                  <c:v>2023</c:v>
                </c:pt>
                <c:pt idx="4">
                  <c:v>2024</c:v>
                </c:pt>
                <c:pt idx="5">
                  <c:v>2025</c:v>
                </c:pt>
                <c:pt idx="6">
                  <c:v>2026 YTD</c:v>
                </c:pt>
              </c:strCache>
            </c:strRef>
          </c:cat>
          <c:val>
            <c:numRef>
              <c:f>Estrategia!#REF!</c:f>
              <c:numCache>
                <c:formatCode>General</c:formatCode>
                <c:ptCount val="1"/>
                <c:pt idx="0">
                  <c:v>1</c:v>
                </c:pt>
              </c:numCache>
            </c:numRef>
          </c:val>
          <c:smooth val="0"/>
          <c:extLst>
            <c:ext xmlns:c16="http://schemas.microsoft.com/office/drawing/2014/chart" uri="{C3380CC4-5D6E-409C-BE32-E72D297353CC}">
              <c16:uniqueId val="{00000000-E8C8-4B64-BBC8-32F1D3615174}"/>
            </c:ext>
          </c:extLst>
        </c:ser>
        <c:ser>
          <c:idx val="2"/>
          <c:order val="2"/>
          <c:tx>
            <c:strRef>
              <c:f>Estrategia!$B$24</c:f>
              <c:strCache>
                <c:ptCount val="1"/>
                <c:pt idx="0">
                  <c:v>S&amp;P 500</c:v>
                </c:pt>
              </c:strCache>
            </c:strRef>
          </c:tx>
          <c:spPr>
            <a:ln w="19050" cap="rnd">
              <a:solidFill>
                <a:schemeClr val="accent6">
                  <a:alpha val="50000"/>
                </a:schemeClr>
              </a:solidFill>
              <a:round/>
            </a:ln>
            <a:effectLst>
              <a:outerShdw blurRad="57150" dist="19050" dir="5400000" algn="ctr" rotWithShape="0">
                <a:srgbClr val="000000">
                  <a:alpha val="63000"/>
                </a:srgbClr>
              </a:outerShdw>
            </a:effectLst>
          </c:spPr>
          <c:marker>
            <c:symbol val="none"/>
          </c:marker>
          <c:dLbls>
            <c:dLbl>
              <c:idx val="6"/>
              <c:layout>
                <c:manualLayout>
                  <c:x val="-0.18260869565217397"/>
                  <c:y val="-4.1825095057034301E-2"/>
                </c:manualLayout>
              </c:layout>
              <c:spPr>
                <a:solidFill>
                  <a:sysClr val="window" lastClr="FFFFFF"/>
                </a:solidFill>
                <a:ln>
                  <a:solidFill>
                    <a:srgbClr val="70AD47">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3065525504964055"/>
                      <c:h val="8.0313164276518648E-2"/>
                    </c:manualLayout>
                  </c15:layout>
                </c:ext>
                <c:ext xmlns:c16="http://schemas.microsoft.com/office/drawing/2014/chart" uri="{C3380CC4-5D6E-409C-BE32-E72D297353CC}">
                  <c16:uniqueId val="{00000002-207D-4D8F-BEFB-1A492183B058}"/>
                </c:ext>
              </c:extLst>
            </c:dLbl>
            <c:spPr>
              <a:solidFill>
                <a:sysClr val="window" lastClr="FFFFFF"/>
              </a:solidFill>
              <a:ln>
                <a:solidFill>
                  <a:srgbClr val="70AD47"/>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Estrategia!$C$24:$I$24</c:f>
              <c:numCache>
                <c:formatCode>0.0%</c:formatCode>
                <c:ptCount val="7"/>
                <c:pt idx="0">
                  <c:v>0.15359130364630103</c:v>
                </c:pt>
                <c:pt idx="1">
                  <c:v>0.39176326979079013</c:v>
                </c:pt>
                <c:pt idx="2">
                  <c:v>0.17556023721499306</c:v>
                </c:pt>
                <c:pt idx="3">
                  <c:v>0.39252876865767405</c:v>
                </c:pt>
                <c:pt idx="4">
                  <c:v>0.60205200188125763</c:v>
                </c:pt>
                <c:pt idx="5">
                  <c:v>0.75570250354432222</c:v>
                </c:pt>
                <c:pt idx="6">
                  <c:v>0.8729644935266837</c:v>
                </c:pt>
              </c:numCache>
            </c:numRef>
          </c:val>
          <c:smooth val="0"/>
          <c:extLst>
            <c:ext xmlns:c16="http://schemas.microsoft.com/office/drawing/2014/chart" uri="{C3380CC4-5D6E-409C-BE32-E72D297353CC}">
              <c16:uniqueId val="{00000000-B146-4F36-9DA1-846BA18A4354}"/>
            </c:ext>
          </c:extLst>
        </c:ser>
        <c:ser>
          <c:idx val="3"/>
          <c:order val="3"/>
          <c:tx>
            <c:strRef>
              <c:f>Estrategia!$B$25</c:f>
              <c:strCache>
                <c:ptCount val="1"/>
                <c:pt idx="0">
                  <c:v>Nasdaq 100</c:v>
                </c:pt>
              </c:strCache>
            </c:strRef>
          </c:tx>
          <c:spPr>
            <a:ln w="19050" cap="rnd">
              <a:solidFill>
                <a:schemeClr val="accent4">
                  <a:alpha val="50000"/>
                </a:schemeClr>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3703834303320781"/>
                      <c:h val="0.13003836058954168"/>
                    </c:manualLayout>
                  </c15:layout>
                </c:ext>
                <c:ext xmlns:c16="http://schemas.microsoft.com/office/drawing/2014/chart" uri="{C3380CC4-5D6E-409C-BE32-E72D297353CC}">
                  <c16:uniqueId val="{00000005-B146-4F36-9DA1-846BA18A4354}"/>
                </c:ext>
              </c:extLst>
            </c:dLbl>
            <c:dLbl>
              <c:idx val="6"/>
              <c:layout>
                <c:manualLayout>
                  <c:x val="-8.2608353303663035E-2"/>
                  <c:y val="-5.7034220532319387E-2"/>
                </c:manualLayout>
              </c:layout>
              <c:spPr>
                <a:solidFill>
                  <a:sysClr val="window" lastClr="FFFFFF"/>
                </a:solidFill>
                <a:ln>
                  <a:solidFill>
                    <a:srgbClr val="FFC000">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7320095857583021"/>
                      <c:h val="9.9566480045507624E-2"/>
                    </c:manualLayout>
                  </c15:layout>
                </c:ext>
                <c:ext xmlns:c16="http://schemas.microsoft.com/office/drawing/2014/chart" uri="{C3380CC4-5D6E-409C-BE32-E72D297353CC}">
                  <c16:uniqueId val="{00000001-207D-4D8F-BEFB-1A492183B058}"/>
                </c:ext>
              </c:extLst>
            </c:dLbl>
            <c:spPr>
              <a:solidFill>
                <a:sysClr val="window" lastClr="FFFFFF"/>
              </a:solidFill>
              <a:ln>
                <a:solidFill>
                  <a:schemeClr val="accent4">
                    <a:alpha val="50000"/>
                  </a:scheme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Estrategia!$C$25:$I$25</c:f>
              <c:numCache>
                <c:formatCode>0.0%</c:formatCode>
                <c:ptCount val="7"/>
                <c:pt idx="0">
                  <c:v>0.39187754713974676</c:v>
                </c:pt>
                <c:pt idx="1">
                  <c:v>0.62795541092062002</c:v>
                </c:pt>
                <c:pt idx="2">
                  <c:v>0.22796299213511523</c:v>
                </c:pt>
                <c:pt idx="3">
                  <c:v>0.6584802849680671</c:v>
                </c:pt>
                <c:pt idx="4">
                  <c:v>0.8806609446046334</c:v>
                </c:pt>
                <c:pt idx="5">
                  <c:v>1.0626479573678895</c:v>
                </c:pt>
                <c:pt idx="6">
                  <c:v>1.2176902472262838</c:v>
                </c:pt>
              </c:numCache>
            </c:numRef>
          </c:val>
          <c:smooth val="0"/>
          <c:extLst>
            <c:ext xmlns:c16="http://schemas.microsoft.com/office/drawing/2014/chart" uri="{C3380CC4-5D6E-409C-BE32-E72D297353CC}">
              <c16:uniqueId val="{00000001-B146-4F36-9DA1-846BA18A4354}"/>
            </c:ext>
          </c:extLst>
        </c:ser>
        <c:ser>
          <c:idx val="4"/>
          <c:order val="4"/>
          <c:tx>
            <c:strRef>
              <c:f>Estrategia!$B$26</c:f>
              <c:strCache>
                <c:ptCount val="1"/>
                <c:pt idx="0">
                  <c:v>Dow Jones</c:v>
                </c:pt>
              </c:strCache>
            </c:strRef>
          </c:tx>
          <c:spPr>
            <a:ln w="19050" cap="rnd">
              <a:solidFill>
                <a:schemeClr val="accent5">
                  <a:alpha val="50000"/>
                </a:schemeClr>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0513591235878123"/>
                      <c:h val="0.1385853691365502"/>
                    </c:manualLayout>
                  </c15:layout>
                </c:ext>
                <c:ext xmlns:c16="http://schemas.microsoft.com/office/drawing/2014/chart" uri="{C3380CC4-5D6E-409C-BE32-E72D297353CC}">
                  <c16:uniqueId val="{00000003-B146-4F36-9DA1-846BA18A4354}"/>
                </c:ext>
              </c:extLst>
            </c:dLbl>
            <c:dLbl>
              <c:idx val="6"/>
              <c:layout>
                <c:manualLayout>
                  <c:x val="-7.6086956521739232E-2"/>
                  <c:y val="0.155893536121673"/>
                </c:manualLayout>
              </c:layout>
              <c:spPr>
                <a:solidFill>
                  <a:sysClr val="window" lastClr="FFFFFF"/>
                </a:solidFill>
                <a:ln>
                  <a:solidFill>
                    <a:srgbClr val="5B9BD5">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8231804176651826"/>
                      <c:h val="7.7676716265980064E-2"/>
                    </c:manualLayout>
                  </c15:layout>
                </c:ext>
                <c:ext xmlns:c16="http://schemas.microsoft.com/office/drawing/2014/chart" uri="{C3380CC4-5D6E-409C-BE32-E72D297353CC}">
                  <c16:uniqueId val="{00000003-207D-4D8F-BEFB-1A492183B058}"/>
                </c:ext>
              </c:extLst>
            </c:dLbl>
            <c:spPr>
              <a:solidFill>
                <a:sysClr val="window" lastClr="FFFFFF"/>
              </a:solidFill>
              <a:ln>
                <a:no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Estrategia!$C$26:$I$26</c:f>
              <c:numCache>
                <c:formatCode>0.0%</c:formatCode>
                <c:ptCount val="7"/>
                <c:pt idx="0">
                  <c:v>7.2636961513102061E-2</c:v>
                </c:pt>
                <c:pt idx="1">
                  <c:v>0.24429749791835814</c:v>
                </c:pt>
                <c:pt idx="2">
                  <c:v>0.15238495188386414</c:v>
                </c:pt>
                <c:pt idx="3">
                  <c:v>0.28080777245390254</c:v>
                </c:pt>
                <c:pt idx="4">
                  <c:v>0.40196917117553976</c:v>
                </c:pt>
                <c:pt idx="5">
                  <c:v>0.5305611124108679</c:v>
                </c:pt>
                <c:pt idx="6">
                  <c:v>0.63222749697875058</c:v>
                </c:pt>
              </c:numCache>
            </c:numRef>
          </c:val>
          <c:smooth val="0"/>
          <c:extLst>
            <c:ext xmlns:c16="http://schemas.microsoft.com/office/drawing/2014/chart" uri="{C3380CC4-5D6E-409C-BE32-E72D297353CC}">
              <c16:uniqueId val="{00000002-B146-4F36-9DA1-846BA18A4354}"/>
            </c:ext>
          </c:extLst>
        </c:ser>
        <c:dLbls>
          <c:showLegendKey val="0"/>
          <c:showVal val="0"/>
          <c:showCatName val="0"/>
          <c:showSerName val="0"/>
          <c:showPercent val="0"/>
          <c:showBubbleSize val="0"/>
        </c:dLbls>
        <c:smooth val="0"/>
        <c:axId val="917477032"/>
        <c:axId val="917477360"/>
      </c:lineChart>
      <c:catAx>
        <c:axId val="917477032"/>
        <c:scaling>
          <c:orientation val="minMax"/>
        </c:scaling>
        <c:delete val="0"/>
        <c:axPos val="b"/>
        <c:majorGridlines>
          <c:spPr>
            <a:ln w="6350" cap="flat" cmpd="sng" algn="ctr">
              <a:solidFill>
                <a:schemeClr val="tx2">
                  <a:lumMod val="20000"/>
                  <a:lumOff val="80000"/>
                </a:schemeClr>
              </a:solidFill>
              <a:round/>
            </a:ln>
            <a:effectLst/>
          </c:spPr>
        </c:majorGridlines>
        <c:numFmt formatCode="General" sourceLinked="0"/>
        <c:majorTickMark val="none"/>
        <c:minorTickMark val="none"/>
        <c:tickLblPos val="low"/>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crossAx val="917477360"/>
        <c:crosses val="autoZero"/>
        <c:auto val="0"/>
        <c:lblAlgn val="ctr"/>
        <c:lblOffset val="100"/>
        <c:noMultiLvlLbl val="0"/>
      </c:catAx>
      <c:valAx>
        <c:axId val="917477360"/>
        <c:scaling>
          <c:orientation val="minMax"/>
        </c:scaling>
        <c:delete val="0"/>
        <c:axPos val="l"/>
        <c:majorGridlines>
          <c:spPr>
            <a:ln w="6350" cap="flat" cmpd="sng" algn="ctr">
              <a:solidFill>
                <a:schemeClr val="tx2">
                  <a:lumMod val="20000"/>
                  <a:lumOff val="8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crossAx val="917477032"/>
        <c:crosses val="autoZero"/>
        <c:crossBetween val="midCat"/>
      </c:valAx>
      <c:spPr>
        <a:noFill/>
        <a:ln>
          <a:solidFill>
            <a:schemeClr val="accent1">
              <a:lumMod val="20000"/>
              <a:lumOff val="80000"/>
            </a:schemeClr>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a:solidFill>
        <a:srgbClr val="002060"/>
      </a:solid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tx2"/>
                </a:solidFill>
                <a:latin typeface="BrowalliaUPC" panose="020B0604020202020204" pitchFamily="34" charset="-34"/>
                <a:ea typeface="+mn-ea"/>
                <a:cs typeface="BrowalliaUPC" panose="020B0604020202020204" pitchFamily="34" charset="-34"/>
              </a:defRPr>
            </a:pPr>
            <a:r>
              <a:rPr lang="en-US" sz="1400" baseline="0"/>
              <a:t>% por ETF</a:t>
            </a:r>
            <a:endParaRPr lang="en-US" sz="1400"/>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tx2"/>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770D-4853-B367-2F1192322F55}"/>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770D-4853-B367-2F1192322F55}"/>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770D-4853-B367-2F1192322F55}"/>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770D-4853-B367-2F1192322F55}"/>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770D-4853-B367-2F1192322F55}"/>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373E-4C6E-AA29-010D061ECC3D}"/>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373E-4C6E-AA29-010D061ECC3D}"/>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373E-4C6E-AA29-010D061ECC3D}"/>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373E-4C6E-AA29-010D061ECC3D}"/>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373E-4C6E-AA29-010D061ECC3D}"/>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373E-4C6E-AA29-010D061ECC3D}"/>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373E-4C6E-AA29-010D061ECC3D}"/>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373E-4C6E-AA29-010D061ECC3D}"/>
              </c:ext>
            </c:extLst>
          </c:dPt>
          <c:dLbls>
            <c:dLbl>
              <c:idx val="0"/>
              <c:layout>
                <c:manualLayout>
                  <c:x val="-0.1291922635196652"/>
                  <c:y val="0.1662476896901508"/>
                </c:manualLayout>
              </c:layout>
              <c:showLegendKey val="0"/>
              <c:showVal val="0"/>
              <c:showCatName val="1"/>
              <c:showSerName val="0"/>
              <c:showPercent val="1"/>
              <c:showBubbleSize val="0"/>
              <c:extLst>
                <c:ext xmlns:c15="http://schemas.microsoft.com/office/drawing/2012/chart" uri="{CE6537A1-D6FC-4f65-9D91-7224C49458BB}">
                  <c15:layout>
                    <c:manualLayout>
                      <c:w val="0.2323527945710766"/>
                      <c:h val="0.16703327152111802"/>
                    </c:manualLayout>
                  </c15:layout>
                </c:ext>
                <c:ext xmlns:c16="http://schemas.microsoft.com/office/drawing/2014/chart" uri="{C3380CC4-5D6E-409C-BE32-E72D297353CC}">
                  <c16:uniqueId val="{00000001-770D-4853-B367-2F1192322F55}"/>
                </c:ext>
              </c:extLst>
            </c:dLbl>
            <c:dLbl>
              <c:idx val="12"/>
              <c:layout>
                <c:manualLayout>
                  <c:x val="-0.22717527049842104"/>
                  <c:y val="-1.31514483768939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373E-4C6E-AA29-010D061ECC3D}"/>
                </c:ext>
              </c:extLst>
            </c:dLbl>
            <c:spPr>
              <a:solidFill>
                <a:sysClr val="window" lastClr="FFFFFF">
                  <a:lumMod val="9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Actual'!$B$6:$B$18</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Actual'!$K$6:$K$18</c:f>
              <c:numCache>
                <c:formatCode>0.0%</c:formatCode>
                <c:ptCount val="13"/>
                <c:pt idx="0">
                  <c:v>0.33400000000000002</c:v>
                </c:pt>
                <c:pt idx="1">
                  <c:v>0.33300000000000007</c:v>
                </c:pt>
                <c:pt idx="2">
                  <c:v>0.33300000000000013</c:v>
                </c:pt>
                <c:pt idx="3">
                  <c:v>0</c:v>
                </c:pt>
                <c:pt idx="4">
                  <c:v>0</c:v>
                </c:pt>
                <c:pt idx="5">
                  <c:v>0</c:v>
                </c:pt>
                <c:pt idx="6">
                  <c:v>0</c:v>
                </c:pt>
                <c:pt idx="7">
                  <c:v>0</c:v>
                </c:pt>
                <c:pt idx="8">
                  <c:v>0</c:v>
                </c:pt>
                <c:pt idx="9">
                  <c:v>0</c:v>
                </c:pt>
                <c:pt idx="10">
                  <c:v>0</c:v>
                </c:pt>
                <c:pt idx="11">
                  <c:v>0</c:v>
                </c:pt>
                <c:pt idx="12">
                  <c:v>-2.5268335065425445E-16</c:v>
                </c:pt>
              </c:numCache>
            </c:numRef>
          </c:val>
          <c:extLst>
            <c:ext xmlns:c16="http://schemas.microsoft.com/office/drawing/2014/chart" uri="{C3380CC4-5D6E-409C-BE32-E72D297353CC}">
              <c16:uniqueId val="{0000000A-770D-4853-B367-2F1192322F55}"/>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3000">
          <a:schemeClr val="accent1">
            <a:lumMod val="5000"/>
            <a:lumOff val="95000"/>
          </a:schemeClr>
        </a:gs>
        <a:gs pos="85000">
          <a:schemeClr val="bg2"/>
        </a:gs>
        <a:gs pos="100000">
          <a:schemeClr val="bg2">
            <a:lumMod val="90000"/>
          </a:schemeClr>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r>
              <a:rPr lang="en-US" sz="1400" baseline="0">
                <a:solidFill>
                  <a:schemeClr val="bg1"/>
                </a:solidFill>
              </a:rPr>
              <a:t>% por ETF</a:t>
            </a:r>
            <a:endParaRPr lang="en-US" sz="1400">
              <a:solidFill>
                <a:schemeClr val="bg1"/>
              </a:solidFill>
            </a:endParaRPr>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E39F-45E3-8896-6A410148F6CF}"/>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E39F-45E3-8896-6A410148F6CF}"/>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E39F-45E3-8896-6A410148F6CF}"/>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E39F-45E3-8896-6A410148F6CF}"/>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E39F-45E3-8896-6A410148F6CF}"/>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F58F-4073-8093-D324621AFE9E}"/>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F58F-4073-8093-D324621AFE9E}"/>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F58F-4073-8093-D324621AFE9E}"/>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F58F-4073-8093-D324621AFE9E}"/>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F58F-4073-8093-D324621AFE9E}"/>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F58F-4073-8093-D324621AFE9E}"/>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F58F-4073-8093-D324621AFE9E}"/>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F58F-4073-8093-D324621AFE9E}"/>
              </c:ext>
            </c:extLst>
          </c:dPt>
          <c:dLbls>
            <c:dLbl>
              <c:idx val="0"/>
              <c:layout>
                <c:manualLayout>
                  <c:x val="-9.9047402031743323E-2"/>
                  <c:y val="0.15084850292777921"/>
                </c:manualLayout>
              </c:layout>
              <c:showLegendKey val="0"/>
              <c:showVal val="0"/>
              <c:showCatName val="1"/>
              <c:showSerName val="0"/>
              <c:showPercent val="1"/>
              <c:showBubbleSize val="0"/>
              <c:extLst>
                <c:ext xmlns:c15="http://schemas.microsoft.com/office/drawing/2012/chart" uri="{CE6537A1-D6FC-4f65-9D91-7224C49458BB}">
                  <c15:layout>
                    <c:manualLayout>
                      <c:w val="0.24957842970703195"/>
                      <c:h val="0.18300283991471156"/>
                    </c:manualLayout>
                  </c15:layout>
                </c:ext>
                <c:ext xmlns:c16="http://schemas.microsoft.com/office/drawing/2014/chart" uri="{C3380CC4-5D6E-409C-BE32-E72D297353CC}">
                  <c16:uniqueId val="{00000001-E39F-45E3-8896-6A410148F6CF}"/>
                </c:ext>
              </c:extLst>
            </c:dLbl>
            <c:dLbl>
              <c:idx val="12"/>
              <c:layout>
                <c:manualLayout>
                  <c:x val="-0.22863470226269569"/>
                  <c:y val="2.9429101009699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F58F-4073-8093-D324621AFE9E}"/>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rgbClr val="8F45C7"/>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Actual'!$B$31:$B$43</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Actual'!$K$31:$K$43</c:f>
              <c:numCache>
                <c:formatCode>0.0%</c:formatCode>
                <c:ptCount val="13"/>
                <c:pt idx="0">
                  <c:v>0.33400000000000007</c:v>
                </c:pt>
                <c:pt idx="1">
                  <c:v>0.33300000000000013</c:v>
                </c:pt>
                <c:pt idx="2">
                  <c:v>0.33300000000000018</c:v>
                </c:pt>
                <c:pt idx="3">
                  <c:v>0</c:v>
                </c:pt>
                <c:pt idx="4">
                  <c:v>0</c:v>
                </c:pt>
                <c:pt idx="5">
                  <c:v>0</c:v>
                </c:pt>
                <c:pt idx="6">
                  <c:v>0</c:v>
                </c:pt>
                <c:pt idx="7">
                  <c:v>0</c:v>
                </c:pt>
                <c:pt idx="8">
                  <c:v>0</c:v>
                </c:pt>
                <c:pt idx="9">
                  <c:v>0</c:v>
                </c:pt>
                <c:pt idx="10">
                  <c:v>0</c:v>
                </c:pt>
                <c:pt idx="11">
                  <c:v>0</c:v>
                </c:pt>
                <c:pt idx="12">
                  <c:v>-3.555580069717792E-16</c:v>
                </c:pt>
              </c:numCache>
            </c:numRef>
          </c:val>
          <c:extLst>
            <c:ext xmlns:c16="http://schemas.microsoft.com/office/drawing/2014/chart" uri="{C3380CC4-5D6E-409C-BE32-E72D297353CC}">
              <c16:uniqueId val="{0000000A-E39F-45E3-8896-6A410148F6CF}"/>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000">
          <a:srgbClr val="CDACE6"/>
        </a:gs>
        <a:gs pos="56000">
          <a:srgbClr val="784FC9"/>
        </a:gs>
        <a:gs pos="100000">
          <a:srgbClr val="7847C9"/>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r>
              <a:rPr lang="en-US" sz="1400" baseline="0">
                <a:solidFill>
                  <a:schemeClr val="bg1"/>
                </a:solidFill>
              </a:rPr>
              <a:t>% POR ETF</a:t>
            </a:r>
            <a:endParaRPr lang="en-US" sz="1400">
              <a:solidFill>
                <a:schemeClr val="bg1"/>
              </a:solidFill>
            </a:endParaRPr>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tx>
            <c:v>Índices regresión a la media</c:v>
          </c:tx>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4C8B-4238-BC95-01C2233EA8C5}"/>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4C8B-4238-BC95-01C2233EA8C5}"/>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4C8B-4238-BC95-01C2233EA8C5}"/>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4C8B-4238-BC95-01C2233EA8C5}"/>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4C8B-4238-BC95-01C2233EA8C5}"/>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0957-4BAF-ACE1-E7A9C47D57CD}"/>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0957-4BAF-ACE1-E7A9C47D57CD}"/>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0957-4BAF-ACE1-E7A9C47D57CD}"/>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0957-4BAF-ACE1-E7A9C47D57CD}"/>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0957-4BAF-ACE1-E7A9C47D57CD}"/>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0957-4BAF-ACE1-E7A9C47D57CD}"/>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0957-4BAF-ACE1-E7A9C47D57CD}"/>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0957-4BAF-ACE1-E7A9C47D57CD}"/>
              </c:ext>
            </c:extLst>
          </c:dPt>
          <c:dLbls>
            <c:dLbl>
              <c:idx val="0"/>
              <c:layout>
                <c:manualLayout>
                  <c:x val="-9.4740993247754479E-2"/>
                  <c:y val="0.16792402955092944"/>
                </c:manualLayout>
              </c:layout>
              <c:showLegendKey val="0"/>
              <c:showVal val="0"/>
              <c:showCatName val="1"/>
              <c:showSerName val="0"/>
              <c:showPercent val="1"/>
              <c:showBubbleSize val="0"/>
              <c:extLst>
                <c:ext xmlns:c15="http://schemas.microsoft.com/office/drawing/2012/chart" uri="{CE6537A1-D6FC-4f65-9D91-7224C49458BB}">
                  <c15:layout>
                    <c:manualLayout>
                      <c:w val="0.22373997700309892"/>
                      <c:h val="0.18120689181660529"/>
                    </c:manualLayout>
                  </c15:layout>
                </c:ext>
                <c:ext xmlns:c16="http://schemas.microsoft.com/office/drawing/2014/chart" uri="{C3380CC4-5D6E-409C-BE32-E72D297353CC}">
                  <c16:uniqueId val="{00000001-4C8B-4238-BC95-01C2233EA8C5}"/>
                </c:ext>
              </c:extLst>
            </c:dLbl>
            <c:dLbl>
              <c:idx val="12"/>
              <c:layout>
                <c:manualLayout>
                  <c:x val="-0.21250126733880553"/>
                  <c:y val="2.969805635548999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0957-4BAF-ACE1-E7A9C47D57C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rgbClr val="8F45C7"/>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Actual'!$B$31:$B$43</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Actual'!$I$55:$I$67</c:f>
              <c:numCache>
                <c:formatCode>0.0%</c:formatCode>
                <c:ptCount val="13"/>
                <c:pt idx="0">
                  <c:v>0.33399999999999996</c:v>
                </c:pt>
                <c:pt idx="1">
                  <c:v>0.33299999999999996</c:v>
                </c:pt>
                <c:pt idx="2">
                  <c:v>0.33300000000000002</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A-4C8B-4238-BC95-01C2233EA8C5}"/>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000">
          <a:srgbClr val="CDACE6"/>
        </a:gs>
        <a:gs pos="56000">
          <a:srgbClr val="784FC9"/>
        </a:gs>
        <a:gs pos="100000">
          <a:srgbClr val="7847C9"/>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7</xdr:col>
      <xdr:colOff>279400</xdr:colOff>
      <xdr:row>6</xdr:row>
      <xdr:rowOff>88900</xdr:rowOff>
    </xdr:from>
    <xdr:to>
      <xdr:col>11</xdr:col>
      <xdr:colOff>601222</xdr:colOff>
      <xdr:row>10</xdr:row>
      <xdr:rowOff>177974</xdr:rowOff>
    </xdr:to>
    <xdr:pic>
      <xdr:nvPicPr>
        <xdr:cNvPr id="6" name="Imagen 5">
          <a:extLst>
            <a:ext uri="{FF2B5EF4-FFF2-40B4-BE49-F238E27FC236}">
              <a16:creationId xmlns:a16="http://schemas.microsoft.com/office/drawing/2014/main" id="{3C2F79EB-154E-493F-9A72-A010D265D7C4}"/>
            </a:ext>
          </a:extLst>
        </xdr:cNvPr>
        <xdr:cNvPicPr>
          <a:picLocks noChangeAspect="1"/>
        </xdr:cNvPicPr>
      </xdr:nvPicPr>
      <xdr:blipFill rotWithShape="1">
        <a:blip xmlns:r="http://schemas.openxmlformats.org/officeDocument/2006/relationships" r:embed="rId1"/>
        <a:srcRect l="36648" t="28484" r="22076" b="53536"/>
        <a:stretch/>
      </xdr:blipFill>
      <xdr:spPr>
        <a:xfrm>
          <a:off x="6553200" y="1397000"/>
          <a:ext cx="3369822" cy="825674"/>
        </a:xfrm>
        <a:prstGeom prst="rect">
          <a:avLst/>
        </a:prstGeom>
      </xdr:spPr>
    </xdr:pic>
    <xdr:clientData/>
  </xdr:twoCellAnchor>
  <xdr:twoCellAnchor>
    <xdr:from>
      <xdr:col>3</xdr:col>
      <xdr:colOff>88900</xdr:colOff>
      <xdr:row>5</xdr:row>
      <xdr:rowOff>6350</xdr:rowOff>
    </xdr:from>
    <xdr:to>
      <xdr:col>6</xdr:col>
      <xdr:colOff>723900</xdr:colOff>
      <xdr:row>14</xdr:row>
      <xdr:rowOff>19050</xdr:rowOff>
    </xdr:to>
    <xdr:graphicFrame macro="">
      <xdr:nvGraphicFramePr>
        <xdr:cNvPr id="2" name="Gráfico 1">
          <a:extLst>
            <a:ext uri="{FF2B5EF4-FFF2-40B4-BE49-F238E27FC236}">
              <a16:creationId xmlns:a16="http://schemas.microsoft.com/office/drawing/2014/main" id="{B340EE6C-6333-4C3C-8FE3-AFAE884F3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387351</xdr:colOff>
      <xdr:row>5</xdr:row>
      <xdr:rowOff>114300</xdr:rowOff>
    </xdr:from>
    <xdr:ext cx="914400" cy="139700"/>
    <xdr:sp macro="" textlink="">
      <xdr:nvSpPr>
        <xdr:cNvPr id="3" name="CuadroTexto 2">
          <a:extLst>
            <a:ext uri="{FF2B5EF4-FFF2-40B4-BE49-F238E27FC236}">
              <a16:creationId xmlns:a16="http://schemas.microsoft.com/office/drawing/2014/main" id="{F2F35FF9-B613-16AC-9F6D-4C03FAAB36E1}"/>
            </a:ext>
          </a:extLst>
        </xdr:cNvPr>
        <xdr:cNvSpPr txBox="1"/>
      </xdr:nvSpPr>
      <xdr:spPr>
        <a:xfrm>
          <a:off x="3613151" y="1238250"/>
          <a:ext cx="914400" cy="139700"/>
        </a:xfrm>
        <a:prstGeom prst="rect">
          <a:avLst/>
        </a:prstGeom>
        <a:solidFill>
          <a:srgbClr val="002060"/>
        </a:solidFill>
        <a:ln>
          <a:solidFill>
            <a:schemeClr val="tx2">
              <a:lumMod val="40000"/>
              <a:lumOff val="6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US" sz="700" b="1" i="0" u="none" strike="noStrike" kern="1200" baseline="0">
              <a:solidFill>
                <a:schemeClr val="accent3">
                  <a:lumMod val="20000"/>
                  <a:lumOff val="80000"/>
                </a:schemeClr>
              </a:solidFill>
              <a:latin typeface="BrowalliaUPC" panose="020B0604020202020204" pitchFamily="34" charset="-34"/>
              <a:ea typeface="+mn-ea"/>
              <a:cs typeface="BrowalliaUPC" panose="020B0604020202020204" pitchFamily="34" charset="-34"/>
            </a:rPr>
            <a:t>ESCALA LOGARÍTMICA</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11</xdr:col>
      <xdr:colOff>14114</xdr:colOff>
      <xdr:row>3</xdr:row>
      <xdr:rowOff>169333</xdr:rowOff>
    </xdr:from>
    <xdr:to>
      <xdr:col>14</xdr:col>
      <xdr:colOff>761874</xdr:colOff>
      <xdr:row>12</xdr:row>
      <xdr:rowOff>171446</xdr:rowOff>
    </xdr:to>
    <xdr:graphicFrame macro="">
      <xdr:nvGraphicFramePr>
        <xdr:cNvPr id="2" name="Gráfico 1">
          <a:extLst>
            <a:ext uri="{FF2B5EF4-FFF2-40B4-BE49-F238E27FC236}">
              <a16:creationId xmlns:a16="http://schemas.microsoft.com/office/drawing/2014/main" id="{3EF9A546-B893-41D6-A4DE-09646028DA8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7044</xdr:colOff>
      <xdr:row>25</xdr:row>
      <xdr:rowOff>63501</xdr:rowOff>
    </xdr:from>
    <xdr:to>
      <xdr:col>16</xdr:col>
      <xdr:colOff>754804</xdr:colOff>
      <xdr:row>38</xdr:row>
      <xdr:rowOff>0</xdr:rowOff>
    </xdr:to>
    <xdr:graphicFrame macro="">
      <xdr:nvGraphicFramePr>
        <xdr:cNvPr id="3" name="Gráfico 2">
          <a:extLst>
            <a:ext uri="{FF2B5EF4-FFF2-40B4-BE49-F238E27FC236}">
              <a16:creationId xmlns:a16="http://schemas.microsoft.com/office/drawing/2014/main" id="{A0E3BFFE-DA59-4B91-B9EC-34C568030C5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7036</xdr:colOff>
      <xdr:row>50</xdr:row>
      <xdr:rowOff>7056</xdr:rowOff>
    </xdr:from>
    <xdr:to>
      <xdr:col>14</xdr:col>
      <xdr:colOff>754796</xdr:colOff>
      <xdr:row>61</xdr:row>
      <xdr:rowOff>183444</xdr:rowOff>
    </xdr:to>
    <xdr:graphicFrame macro="">
      <xdr:nvGraphicFramePr>
        <xdr:cNvPr id="4" name="Gráfico 3">
          <a:extLst>
            <a:ext uri="{FF2B5EF4-FFF2-40B4-BE49-F238E27FC236}">
              <a16:creationId xmlns:a16="http://schemas.microsoft.com/office/drawing/2014/main" id="{3A34909C-15E4-4AC1-BC13-3EE6FAF0D07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58A5566-5524-41BA-8696-5C8EB3B76131}">
  <we:reference id="wa200006518" version="1.1.1.0" store="en-US" storeType="OMEX"/>
  <we:alternateReferences>
    <we:reference id="wa200006518" version="1.1.1.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_xldudf_PYSCRIPT_CODE</we:customFunctionIds>
        <we:customFunctionIds>_xldudf_ANACONDA_CODE</we:customFunctionIds>
      </we:customFunctionIdList>
    </a:ext>
    <a:ext xmlns:a="http://schemas.openxmlformats.org/drawingml/2006/main" uri="{0858819E-0033-43BF-8937-05EC82904868}">
      <we:backgroundApp state="0" runtimeId="PyScript.Url"/>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C94A4-5E81-4BE0-A978-7960C072B275}">
  <sheetPr codeName="Hoja1">
    <tabColor rgb="FFF325C7"/>
  </sheetPr>
  <dimension ref="B1:O25"/>
  <sheetViews>
    <sheetView showGridLines="0" showRowColHeaders="0" zoomScale="105" zoomScaleNormal="105" workbookViewId="0">
      <selection activeCell="H6" sqref="H6"/>
    </sheetView>
  </sheetViews>
  <sheetFormatPr baseColWidth="10" defaultColWidth="10.81640625" defaultRowHeight="14.5" x14ac:dyDescent="0.35"/>
  <cols>
    <col min="1" max="1" width="3.453125" style="79" customWidth="1"/>
    <col min="2" max="2" width="10.81640625" style="79"/>
    <col min="3" max="3" width="10.81640625" style="79" customWidth="1"/>
    <col min="4" max="15" width="10.81640625" style="79"/>
    <col min="16" max="16" width="10.81640625" style="79" customWidth="1"/>
    <col min="17" max="16384" width="10.81640625" style="79"/>
  </cols>
  <sheetData>
    <row r="1" spans="2:15" ht="7.5" customHeight="1" x14ac:dyDescent="0.35"/>
    <row r="2" spans="2:15" x14ac:dyDescent="0.35">
      <c r="B2" s="82" t="s">
        <v>0</v>
      </c>
    </row>
    <row r="3" spans="2:15" ht="18.649999999999999" customHeight="1" x14ac:dyDescent="0.35">
      <c r="B3" s="83" t="s">
        <v>1</v>
      </c>
      <c r="C3" s="84"/>
      <c r="D3" s="84"/>
      <c r="E3" s="84"/>
      <c r="F3" s="84"/>
      <c r="G3" s="84"/>
      <c r="H3" s="84"/>
      <c r="I3" s="84"/>
      <c r="J3" s="84"/>
      <c r="K3" s="84"/>
      <c r="L3" s="84"/>
      <c r="M3" s="84"/>
      <c r="N3" s="84"/>
      <c r="O3" s="84"/>
    </row>
    <row r="4" spans="2:15" ht="18.649999999999999" customHeight="1" x14ac:dyDescent="0.35">
      <c r="B4" s="144" t="s">
        <v>2</v>
      </c>
      <c r="C4" s="144"/>
      <c r="D4" s="144"/>
      <c r="E4" s="144"/>
      <c r="F4" s="144"/>
      <c r="G4" s="144"/>
      <c r="H4" s="144"/>
      <c r="I4" s="144"/>
      <c r="J4" s="144"/>
      <c r="K4" s="144"/>
      <c r="L4" s="144"/>
      <c r="M4" s="144"/>
      <c r="N4" s="144"/>
      <c r="O4" s="144"/>
    </row>
    <row r="5" spans="2:15" ht="15" customHeight="1" x14ac:dyDescent="0.35">
      <c r="B5" s="144"/>
      <c r="C5" s="144"/>
      <c r="D5" s="144"/>
      <c r="E5" s="144"/>
      <c r="F5" s="144"/>
      <c r="G5" s="144"/>
      <c r="H5" s="144"/>
      <c r="I5" s="144"/>
      <c r="J5" s="144"/>
      <c r="K5" s="144"/>
      <c r="L5" s="144"/>
      <c r="M5" s="144"/>
      <c r="N5" s="144"/>
      <c r="O5" s="144"/>
    </row>
    <row r="6" spans="2:15" ht="23.15" customHeight="1" x14ac:dyDescent="0.35">
      <c r="B6" s="83" t="s">
        <v>3</v>
      </c>
      <c r="C6" s="84"/>
      <c r="D6" s="84"/>
      <c r="E6" s="84"/>
      <c r="F6" s="84"/>
      <c r="G6" s="84"/>
      <c r="H6" s="84"/>
      <c r="I6" s="84"/>
      <c r="J6" s="84"/>
      <c r="K6" s="84"/>
      <c r="L6" s="84"/>
      <c r="M6" s="84"/>
      <c r="N6" s="84"/>
      <c r="O6" s="84"/>
    </row>
    <row r="7" spans="2:15" x14ac:dyDescent="0.35">
      <c r="B7" s="144" t="s">
        <v>4</v>
      </c>
      <c r="C7" s="144"/>
      <c r="D7" s="144"/>
      <c r="E7" s="144"/>
      <c r="F7" s="144"/>
      <c r="G7" s="144"/>
      <c r="H7" s="144"/>
      <c r="I7" s="144"/>
      <c r="J7" s="144"/>
      <c r="K7" s="144"/>
      <c r="L7" s="144"/>
      <c r="M7" s="144"/>
      <c r="N7" s="144"/>
      <c r="O7" s="144"/>
    </row>
    <row r="8" spans="2:15" ht="18" customHeight="1" x14ac:dyDescent="0.35">
      <c r="B8" s="144"/>
      <c r="C8" s="144"/>
      <c r="D8" s="144"/>
      <c r="E8" s="144"/>
      <c r="F8" s="144"/>
      <c r="G8" s="144"/>
      <c r="H8" s="144"/>
      <c r="I8" s="144"/>
      <c r="J8" s="144"/>
      <c r="K8" s="144"/>
      <c r="L8" s="144"/>
      <c r="M8" s="144"/>
      <c r="N8" s="144"/>
      <c r="O8" s="144"/>
    </row>
    <row r="9" spans="2:15" x14ac:dyDescent="0.35">
      <c r="B9" s="144" t="s">
        <v>5</v>
      </c>
      <c r="C9" s="144"/>
      <c r="D9" s="144"/>
      <c r="E9" s="144"/>
      <c r="F9" s="144"/>
      <c r="G9" s="144"/>
      <c r="H9" s="144"/>
      <c r="I9" s="144"/>
      <c r="J9" s="144"/>
      <c r="K9" s="144"/>
      <c r="L9" s="144"/>
      <c r="M9" s="144"/>
      <c r="N9" s="144"/>
      <c r="O9" s="144"/>
    </row>
    <row r="10" spans="2:15" ht="19" customHeight="1" x14ac:dyDescent="0.35">
      <c r="B10" s="144"/>
      <c r="C10" s="144"/>
      <c r="D10" s="144"/>
      <c r="E10" s="144"/>
      <c r="F10" s="144"/>
      <c r="G10" s="144"/>
      <c r="H10" s="144"/>
      <c r="I10" s="144"/>
      <c r="J10" s="144"/>
      <c r="K10" s="144"/>
      <c r="L10" s="144"/>
      <c r="M10" s="144"/>
      <c r="N10" s="144"/>
      <c r="O10" s="144"/>
    </row>
    <row r="11" spans="2:15" x14ac:dyDescent="0.35">
      <c r="B11" s="80"/>
      <c r="C11" s="80"/>
      <c r="D11" s="80"/>
      <c r="E11" s="80"/>
      <c r="F11" s="80"/>
      <c r="G11" s="80"/>
      <c r="H11" s="80"/>
      <c r="I11" s="80"/>
      <c r="J11" s="80"/>
      <c r="K11" s="80"/>
      <c r="L11" s="80"/>
      <c r="M11" s="80"/>
      <c r="N11" s="80"/>
      <c r="O11" s="80"/>
    </row>
    <row r="13" spans="2:15" x14ac:dyDescent="0.35">
      <c r="B13" s="81" t="s">
        <v>6</v>
      </c>
    </row>
    <row r="14" spans="2:15" ht="21.65" customHeight="1" x14ac:dyDescent="0.35">
      <c r="B14" s="85" t="s">
        <v>7</v>
      </c>
      <c r="C14" s="86"/>
      <c r="D14" s="86"/>
      <c r="E14" s="86"/>
      <c r="F14" s="86"/>
      <c r="G14" s="86"/>
      <c r="H14" s="86"/>
      <c r="I14" s="86"/>
      <c r="J14" s="86"/>
      <c r="K14" s="86"/>
      <c r="L14" s="86"/>
      <c r="M14" s="86"/>
      <c r="N14" s="86"/>
      <c r="O14" s="86"/>
    </row>
    <row r="15" spans="2:15" ht="19" customHeight="1" x14ac:dyDescent="0.35">
      <c r="B15" s="145" t="s">
        <v>8</v>
      </c>
      <c r="C15" s="145"/>
      <c r="D15" s="145"/>
      <c r="E15" s="145"/>
      <c r="F15" s="145"/>
      <c r="G15" s="145"/>
      <c r="H15" s="145"/>
      <c r="I15" s="145"/>
      <c r="J15" s="145"/>
      <c r="K15" s="145"/>
      <c r="L15" s="145"/>
      <c r="M15" s="145"/>
      <c r="N15" s="145"/>
      <c r="O15" s="145"/>
    </row>
    <row r="16" spans="2:15" x14ac:dyDescent="0.35">
      <c r="B16" s="145"/>
      <c r="C16" s="145"/>
      <c r="D16" s="145"/>
      <c r="E16" s="145"/>
      <c r="F16" s="145"/>
      <c r="G16" s="145"/>
      <c r="H16" s="145"/>
      <c r="I16" s="145"/>
      <c r="J16" s="145"/>
      <c r="K16" s="145"/>
      <c r="L16" s="145"/>
      <c r="M16" s="145"/>
      <c r="N16" s="145"/>
      <c r="O16" s="145"/>
    </row>
    <row r="17" spans="2:15" ht="20.5" customHeight="1" x14ac:dyDescent="0.35">
      <c r="B17" s="85" t="s">
        <v>9</v>
      </c>
      <c r="C17" s="86"/>
      <c r="D17" s="86"/>
      <c r="E17" s="86"/>
      <c r="F17" s="86"/>
      <c r="G17" s="86"/>
      <c r="H17" s="86"/>
      <c r="I17" s="86"/>
      <c r="J17" s="86"/>
      <c r="K17" s="86"/>
      <c r="L17" s="86"/>
      <c r="M17" s="86"/>
      <c r="N17" s="86"/>
      <c r="O17" s="86"/>
    </row>
    <row r="19" spans="2:15" ht="14.5" customHeight="1" x14ac:dyDescent="0.35">
      <c r="B19" s="143" t="s">
        <v>10</v>
      </c>
      <c r="C19" s="143"/>
      <c r="D19" s="143"/>
      <c r="E19" s="143"/>
      <c r="F19" s="143"/>
      <c r="G19" s="143"/>
      <c r="H19" s="143"/>
      <c r="I19" s="143"/>
      <c r="J19" s="143"/>
      <c r="K19" s="143"/>
      <c r="L19" s="143"/>
      <c r="M19" s="143"/>
      <c r="N19" s="143"/>
      <c r="O19" s="143"/>
    </row>
    <row r="20" spans="2:15" x14ac:dyDescent="0.35">
      <c r="B20" s="143"/>
      <c r="C20" s="143"/>
      <c r="D20" s="143"/>
      <c r="E20" s="143"/>
      <c r="F20" s="143"/>
      <c r="G20" s="143"/>
      <c r="H20" s="143"/>
      <c r="I20" s="143"/>
      <c r="J20" s="143"/>
      <c r="K20" s="143"/>
      <c r="L20" s="143"/>
      <c r="M20" s="143"/>
      <c r="N20" s="143"/>
      <c r="O20" s="143"/>
    </row>
    <row r="21" spans="2:15" x14ac:dyDescent="0.35">
      <c r="B21" s="143"/>
      <c r="C21" s="143"/>
      <c r="D21" s="143"/>
      <c r="E21" s="143"/>
      <c r="F21" s="143"/>
      <c r="G21" s="143"/>
      <c r="H21" s="143"/>
      <c r="I21" s="143"/>
      <c r="J21" s="143"/>
      <c r="K21" s="143"/>
      <c r="L21" s="143"/>
      <c r="M21" s="143"/>
      <c r="N21" s="143"/>
      <c r="O21" s="143"/>
    </row>
    <row r="22" spans="2:15" ht="14.5" customHeight="1" x14ac:dyDescent="0.35">
      <c r="B22" s="143" t="s">
        <v>11</v>
      </c>
      <c r="C22" s="143"/>
      <c r="D22" s="143"/>
      <c r="E22" s="143"/>
      <c r="F22" s="143"/>
      <c r="G22" s="143"/>
      <c r="H22" s="143"/>
      <c r="I22" s="143"/>
      <c r="J22" s="143"/>
      <c r="K22" s="143"/>
      <c r="L22" s="143"/>
      <c r="M22" s="143"/>
      <c r="N22" s="143"/>
      <c r="O22" s="143"/>
    </row>
    <row r="23" spans="2:15" ht="10.5" customHeight="1" x14ac:dyDescent="0.35">
      <c r="B23" s="102"/>
      <c r="C23" s="102"/>
      <c r="D23" s="102"/>
      <c r="E23" s="102"/>
      <c r="F23" s="102"/>
      <c r="G23" s="102"/>
      <c r="H23" s="102"/>
      <c r="I23" s="102"/>
      <c r="J23" s="102"/>
      <c r="K23" s="102"/>
      <c r="L23" s="102"/>
      <c r="M23" s="102"/>
      <c r="N23" s="102"/>
      <c r="O23" s="102"/>
    </row>
    <row r="24" spans="2:15" x14ac:dyDescent="0.35">
      <c r="B24" s="143" t="s">
        <v>12</v>
      </c>
      <c r="C24" s="143"/>
      <c r="D24" s="143"/>
      <c r="E24" s="143"/>
      <c r="F24" s="143"/>
      <c r="G24" s="143"/>
      <c r="H24" s="143"/>
      <c r="I24" s="143"/>
      <c r="J24" s="143"/>
      <c r="K24" s="143"/>
      <c r="L24" s="143"/>
      <c r="M24" s="143"/>
      <c r="N24" s="143"/>
      <c r="O24" s="143"/>
    </row>
    <row r="25" spans="2:15" ht="24" customHeight="1" x14ac:dyDescent="0.35">
      <c r="B25" s="143"/>
      <c r="C25" s="143"/>
      <c r="D25" s="143"/>
      <c r="E25" s="143"/>
      <c r="F25" s="143"/>
      <c r="G25" s="143"/>
      <c r="H25" s="143"/>
      <c r="I25" s="143"/>
      <c r="J25" s="143"/>
      <c r="K25" s="143"/>
      <c r="L25" s="143"/>
      <c r="M25" s="143"/>
      <c r="N25" s="143"/>
      <c r="O25" s="143"/>
    </row>
  </sheetData>
  <sheetProtection algorithmName="SHA-512" hashValue="+Vfk41Ts0uMrWEIKdpr0r3shH+FX+G0fa7oESR+iTEswoyx8h9U4IRoFgZbfNhGn9mz8XGm4bq+6gTmx+7Ep9Q==" saltValue="XeVzZp0PRHwYrPL3mwQUPg==" spinCount="100000" sheet="1" objects="1" scenarios="1" formatRows="0"/>
  <mergeCells count="7">
    <mergeCell ref="B24:O25"/>
    <mergeCell ref="B22:O22"/>
    <mergeCell ref="B4:O5"/>
    <mergeCell ref="B7:O8"/>
    <mergeCell ref="B9:O10"/>
    <mergeCell ref="B15:O16"/>
    <mergeCell ref="B19:O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571A0-48CC-43D4-8CBA-4F9CCCEE699B}">
  <sheetPr codeName="Hoja2">
    <tabColor rgb="FF002060"/>
  </sheetPr>
  <dimension ref="B1:M32"/>
  <sheetViews>
    <sheetView showGridLines="0" tabSelected="1" zoomScaleNormal="100" workbookViewId="0">
      <selection activeCell="I24" sqref="I24:I26"/>
    </sheetView>
  </sheetViews>
  <sheetFormatPr baseColWidth="10" defaultColWidth="10.81640625" defaultRowHeight="14.5" x14ac:dyDescent="0.35"/>
  <cols>
    <col min="1" max="1" width="2.453125" style="79" customWidth="1"/>
    <col min="2" max="2" width="23.26953125" style="79" customWidth="1"/>
    <col min="3" max="3" width="20.453125" style="79" customWidth="1"/>
    <col min="4" max="12" width="10.81640625" style="79"/>
    <col min="13" max="13" width="11.453125" style="79" customWidth="1"/>
    <col min="14" max="16384" width="10.81640625" style="79"/>
  </cols>
  <sheetData>
    <row r="1" spans="2:13" ht="9" customHeight="1" x14ac:dyDescent="0.35"/>
    <row r="2" spans="2:13" x14ac:dyDescent="0.35">
      <c r="B2" s="147" t="s">
        <v>13</v>
      </c>
      <c r="C2" s="147"/>
    </row>
    <row r="3" spans="2:13" ht="28" customHeight="1" x14ac:dyDescent="0.35">
      <c r="B3" s="146" t="s">
        <v>14</v>
      </c>
      <c r="C3" s="146"/>
      <c r="D3" s="146"/>
      <c r="E3" s="146"/>
      <c r="F3" s="146"/>
      <c r="G3" s="146"/>
      <c r="H3" s="146"/>
      <c r="I3" s="146"/>
      <c r="J3" s="146"/>
      <c r="K3" s="146"/>
      <c r="L3" s="146"/>
      <c r="M3" s="146"/>
    </row>
    <row r="4" spans="2:13" ht="22.5" customHeight="1" x14ac:dyDescent="0.35">
      <c r="B4" s="146"/>
      <c r="C4" s="146"/>
      <c r="D4" s="146"/>
      <c r="E4" s="146"/>
      <c r="F4" s="146"/>
      <c r="G4" s="146"/>
      <c r="H4" s="146"/>
      <c r="I4" s="146"/>
      <c r="J4" s="146"/>
      <c r="K4" s="146"/>
      <c r="L4" s="146"/>
      <c r="M4" s="146"/>
    </row>
    <row r="6" spans="2:13" x14ac:dyDescent="0.35">
      <c r="B6" s="138" t="s">
        <v>15</v>
      </c>
      <c r="C6" s="98" t="s">
        <v>16</v>
      </c>
    </row>
    <row r="7" spans="2:13" x14ac:dyDescent="0.35">
      <c r="B7" s="138" t="s">
        <v>17</v>
      </c>
      <c r="C7" s="98" t="s">
        <v>18</v>
      </c>
    </row>
    <row r="8" spans="2:13" x14ac:dyDescent="0.35">
      <c r="B8" s="138" t="s">
        <v>19</v>
      </c>
      <c r="C8" s="98" t="s">
        <v>20</v>
      </c>
    </row>
    <row r="9" spans="2:13" x14ac:dyDescent="0.35">
      <c r="B9" s="138" t="s">
        <v>21</v>
      </c>
      <c r="C9" s="87">
        <v>3000</v>
      </c>
    </row>
    <row r="10" spans="2:13" x14ac:dyDescent="0.35">
      <c r="B10" s="138" t="s">
        <v>22</v>
      </c>
      <c r="C10" s="109" t="s">
        <v>23</v>
      </c>
    </row>
    <row r="11" spans="2:13" x14ac:dyDescent="0.35">
      <c r="B11" s="138" t="s">
        <v>24</v>
      </c>
      <c r="C11" s="109" t="s">
        <v>25</v>
      </c>
    </row>
    <row r="12" spans="2:13" x14ac:dyDescent="0.35">
      <c r="B12" s="138" t="s">
        <v>26</v>
      </c>
      <c r="C12" s="101">
        <v>0</v>
      </c>
    </row>
    <row r="13" spans="2:13" x14ac:dyDescent="0.35">
      <c r="B13" s="138" t="s">
        <v>27</v>
      </c>
      <c r="C13" s="101">
        <v>0.33</v>
      </c>
    </row>
    <row r="14" spans="2:13" x14ac:dyDescent="0.35">
      <c r="B14" s="138" t="s">
        <v>28</v>
      </c>
      <c r="C14" s="101">
        <v>0</v>
      </c>
    </row>
    <row r="16" spans="2:13" ht="16" customHeight="1" x14ac:dyDescent="0.35">
      <c r="B16" s="148" t="s">
        <v>29</v>
      </c>
      <c r="C16" s="148"/>
      <c r="D16" s="148"/>
      <c r="E16" s="148"/>
      <c r="F16" s="148"/>
      <c r="G16" s="148"/>
      <c r="H16" s="148"/>
      <c r="I16" s="148"/>
      <c r="J16" s="148"/>
      <c r="K16" s="148"/>
      <c r="L16" s="148"/>
      <c r="M16" s="148"/>
    </row>
    <row r="17" spans="2:13" ht="16" customHeight="1" x14ac:dyDescent="0.35">
      <c r="B17" s="148"/>
      <c r="C17" s="148"/>
      <c r="D17" s="148"/>
      <c r="E17" s="148"/>
      <c r="F17" s="148"/>
      <c r="G17" s="148"/>
      <c r="H17" s="148"/>
      <c r="I17" s="148"/>
      <c r="J17" s="148"/>
      <c r="K17" s="148"/>
      <c r="L17" s="148"/>
      <c r="M17" s="148"/>
    </row>
    <row r="18" spans="2:13" ht="11.5" customHeight="1" x14ac:dyDescent="0.35">
      <c r="B18" s="143" t="s">
        <v>30</v>
      </c>
      <c r="C18" s="143"/>
      <c r="D18" s="143"/>
      <c r="E18" s="143"/>
      <c r="F18" s="143"/>
      <c r="G18" s="143"/>
      <c r="H18" s="143"/>
      <c r="I18" s="143"/>
      <c r="J18" s="143"/>
      <c r="K18" s="143"/>
      <c r="L18" s="143"/>
      <c r="M18" s="143"/>
    </row>
    <row r="19" spans="2:13" x14ac:dyDescent="0.35">
      <c r="B19" s="143"/>
      <c r="C19" s="143"/>
      <c r="D19" s="143"/>
      <c r="E19" s="143"/>
      <c r="F19" s="143"/>
      <c r="G19" s="143"/>
      <c r="H19" s="143"/>
      <c r="I19" s="143"/>
      <c r="J19" s="143"/>
      <c r="K19" s="143"/>
      <c r="L19" s="143"/>
      <c r="M19" s="143"/>
    </row>
    <row r="20" spans="2:13" x14ac:dyDescent="0.35">
      <c r="B20" s="149" t="s">
        <v>31</v>
      </c>
      <c r="C20" s="149"/>
      <c r="D20" s="149"/>
      <c r="E20" s="149"/>
      <c r="F20" s="149"/>
      <c r="G20" s="149"/>
      <c r="H20" s="149"/>
      <c r="I20" s="149"/>
      <c r="J20" s="149"/>
      <c r="K20" s="149"/>
      <c r="L20" s="149"/>
      <c r="M20" s="149"/>
    </row>
    <row r="22" spans="2:13" x14ac:dyDescent="0.35">
      <c r="B22" s="113">
        <v>0</v>
      </c>
      <c r="C22" s="137">
        <v>2020</v>
      </c>
      <c r="D22" s="137">
        <v>2021</v>
      </c>
      <c r="E22" s="137">
        <v>2022</v>
      </c>
      <c r="F22" s="137">
        <v>2023</v>
      </c>
      <c r="G22" s="137">
        <v>2024</v>
      </c>
      <c r="H22" s="137">
        <v>2025</v>
      </c>
      <c r="I22" s="137" t="s">
        <v>32</v>
      </c>
      <c r="J22" s="140"/>
      <c r="K22" s="140"/>
    </row>
    <row r="23" spans="2:13" ht="15" x14ac:dyDescent="0.4">
      <c r="B23" s="114" t="s">
        <v>33</v>
      </c>
      <c r="C23" s="115">
        <v>0.26809348504535935</v>
      </c>
      <c r="D23" s="115">
        <v>0.82559899606657994</v>
      </c>
      <c r="E23" s="115">
        <v>0.58449015142128402</v>
      </c>
      <c r="F23" s="115">
        <v>1.0235371311795274</v>
      </c>
      <c r="G23" s="115">
        <v>1.3437892603719515</v>
      </c>
      <c r="H23" s="115">
        <v>1.5364148640158948</v>
      </c>
      <c r="I23" s="115">
        <f>'Portafolio Actual'!J21</f>
        <v>1.5684341185572386</v>
      </c>
      <c r="J23" s="141"/>
      <c r="K23" s="141"/>
      <c r="L23" s="120"/>
    </row>
    <row r="24" spans="2:13" ht="15" x14ac:dyDescent="0.4">
      <c r="B24" s="114" t="s">
        <v>34</v>
      </c>
      <c r="C24" s="115">
        <v>0.15359130364630103</v>
      </c>
      <c r="D24" s="115">
        <v>0.39176326979079013</v>
      </c>
      <c r="E24" s="115">
        <v>0.17556023721499306</v>
      </c>
      <c r="F24" s="115">
        <v>0.39252876865767405</v>
      </c>
      <c r="G24" s="115">
        <v>0.60205200188125763</v>
      </c>
      <c r="H24" s="115">
        <v>0.75570250354432222</v>
      </c>
      <c r="I24" s="115">
        <v>0.8729644935266837</v>
      </c>
      <c r="J24" s="141"/>
      <c r="K24" s="141"/>
      <c r="L24" s="120"/>
    </row>
    <row r="25" spans="2:13" ht="15" x14ac:dyDescent="0.4">
      <c r="B25" s="114" t="s">
        <v>35</v>
      </c>
      <c r="C25" s="115">
        <v>0.39187754713974676</v>
      </c>
      <c r="D25" s="115">
        <v>0.62795541092062002</v>
      </c>
      <c r="E25" s="115">
        <v>0.22796299213511523</v>
      </c>
      <c r="F25" s="115">
        <v>0.6584802849680671</v>
      </c>
      <c r="G25" s="115">
        <v>0.8806609446046334</v>
      </c>
      <c r="H25" s="115">
        <v>1.0626479573678895</v>
      </c>
      <c r="I25" s="115">
        <v>1.2176902472262838</v>
      </c>
      <c r="J25" s="141"/>
      <c r="K25" s="141"/>
      <c r="L25" s="120"/>
    </row>
    <row r="26" spans="2:13" ht="15" x14ac:dyDescent="0.4">
      <c r="B26" s="114" t="s">
        <v>36</v>
      </c>
      <c r="C26" s="115">
        <v>7.2636961513102061E-2</v>
      </c>
      <c r="D26" s="115">
        <v>0.24429749791835814</v>
      </c>
      <c r="E26" s="115">
        <v>0.15238495188386414</v>
      </c>
      <c r="F26" s="115">
        <v>0.28080777245390254</v>
      </c>
      <c r="G26" s="115">
        <v>0.40196917117553976</v>
      </c>
      <c r="H26" s="115">
        <v>0.5305611124108679</v>
      </c>
      <c r="I26" s="115">
        <v>0.63222749697875058</v>
      </c>
      <c r="J26" s="141"/>
      <c r="K26" s="141"/>
      <c r="L26" s="120"/>
    </row>
    <row r="27" spans="2:13" x14ac:dyDescent="0.35">
      <c r="B27" s="141"/>
      <c r="C27" s="141"/>
      <c r="D27" s="141"/>
      <c r="E27" s="141"/>
      <c r="F27" s="141"/>
      <c r="G27" s="141"/>
      <c r="H27" s="141"/>
      <c r="I27" s="141"/>
      <c r="J27" s="141"/>
      <c r="K27" s="141"/>
      <c r="L27" s="120"/>
    </row>
    <row r="28" spans="2:13" x14ac:dyDescent="0.35">
      <c r="B28" s="141"/>
      <c r="C28" s="141"/>
      <c r="D28" s="141"/>
      <c r="E28" s="141"/>
      <c r="F28" s="141"/>
      <c r="G28" s="141"/>
      <c r="H28" s="141"/>
      <c r="I28" s="141"/>
      <c r="J28" s="141"/>
      <c r="K28" s="141"/>
      <c r="L28" s="120"/>
    </row>
    <row r="29" spans="2:13" x14ac:dyDescent="0.35">
      <c r="B29" s="141"/>
      <c r="C29" s="141"/>
      <c r="D29" s="142"/>
      <c r="E29" s="142"/>
      <c r="F29" s="142"/>
      <c r="G29" s="142"/>
      <c r="H29" s="142"/>
      <c r="I29" s="142"/>
      <c r="J29" s="141"/>
      <c r="K29" s="141"/>
    </row>
    <row r="30" spans="2:13" x14ac:dyDescent="0.35">
      <c r="B30" s="141"/>
      <c r="C30" s="141"/>
      <c r="D30" s="142"/>
      <c r="E30" s="142"/>
      <c r="F30" s="142"/>
      <c r="G30" s="142"/>
      <c r="H30" s="142"/>
      <c r="I30" s="142"/>
      <c r="J30" s="141"/>
      <c r="K30" s="141"/>
    </row>
    <row r="31" spans="2:13" x14ac:dyDescent="0.35">
      <c r="B31" s="141"/>
      <c r="C31" s="141"/>
      <c r="D31" s="142"/>
      <c r="E31" s="142"/>
      <c r="F31" s="142"/>
      <c r="G31" s="142"/>
      <c r="H31" s="142"/>
      <c r="I31" s="142"/>
      <c r="J31" s="141"/>
      <c r="K31" s="141"/>
    </row>
    <row r="32" spans="2:13" x14ac:dyDescent="0.35">
      <c r="B32" s="141"/>
      <c r="C32" s="141"/>
      <c r="D32" s="142"/>
      <c r="E32" s="142"/>
      <c r="F32" s="142"/>
      <c r="G32" s="142"/>
      <c r="H32" s="142"/>
      <c r="I32" s="142"/>
      <c r="J32" s="141"/>
      <c r="K32" s="141"/>
    </row>
  </sheetData>
  <sheetProtection algorithmName="SHA-512" hashValue="gGBYkYFfHjGH0eISEaOe60npjQWxpl38wPWuQU7Ga+mYdnfXDGYIvM33D84xNXwYUp3hX/CVTFJiOTJhLRpwbQ==" saltValue="+Uzv1dxdJCpuRFndm/s64g==" spinCount="100000" sheet="1" objects="1" scenarios="1" formatRows="0"/>
  <mergeCells count="5">
    <mergeCell ref="B3:M4"/>
    <mergeCell ref="B2:C2"/>
    <mergeCell ref="B16:M17"/>
    <mergeCell ref="B20:M20"/>
    <mergeCell ref="B18:M1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C47B-882D-4C8F-9B76-2C9F58055F6A}">
  <sheetPr codeName="Hoja3">
    <tabColor rgb="FF784FC9"/>
  </sheetPr>
  <dimension ref="B1:V81"/>
  <sheetViews>
    <sheetView showGridLines="0" showRowColHeaders="0" topLeftCell="A6" zoomScale="90" zoomScaleNormal="90" workbookViewId="0">
      <selection activeCell="J21" sqref="J21"/>
    </sheetView>
  </sheetViews>
  <sheetFormatPr baseColWidth="10" defaultColWidth="11.453125" defaultRowHeight="14.5" outlineLevelRow="1" x14ac:dyDescent="0.35"/>
  <cols>
    <col min="1" max="1" width="2.54296875" customWidth="1"/>
    <col min="3" max="3" width="37.54296875" customWidth="1"/>
    <col min="4" max="4" width="12.7265625" bestFit="1" customWidth="1"/>
    <col min="6" max="6" width="11.1796875" bestFit="1" customWidth="1"/>
    <col min="7" max="7" width="13.453125" customWidth="1"/>
    <col min="8" max="8" width="11.1796875" bestFit="1" customWidth="1"/>
    <col min="9" max="9" width="11.54296875" customWidth="1"/>
    <col min="14" max="14" width="9.7265625" customWidth="1"/>
    <col min="19" max="22" width="10.81640625" hidden="1" customWidth="1"/>
  </cols>
  <sheetData>
    <row r="1" spans="2:22" ht="10" customHeight="1" thickBot="1" x14ac:dyDescent="0.4"/>
    <row r="2" spans="2:22" ht="15" customHeight="1" thickTop="1" thickBot="1" x14ac:dyDescent="0.45">
      <c r="B2" s="159" t="s">
        <v>13</v>
      </c>
      <c r="C2" s="159"/>
      <c r="D2" s="76">
        <f>'Último rebalanceo'!D2</f>
        <v>46262</v>
      </c>
      <c r="E2" s="15"/>
      <c r="F2" s="158" t="s">
        <v>37</v>
      </c>
      <c r="G2" s="158"/>
      <c r="H2" s="127">
        <f>'Último rebalanceo'!H2</f>
        <v>0.33400000000000002</v>
      </c>
      <c r="U2" s="20"/>
    </row>
    <row r="3" spans="2:22" ht="16" thickTop="1" thickBot="1" x14ac:dyDescent="0.45">
      <c r="B3" s="154" t="s">
        <v>38</v>
      </c>
      <c r="C3" s="154"/>
      <c r="D3" s="65">
        <v>3000</v>
      </c>
      <c r="F3" s="158" t="s">
        <v>39</v>
      </c>
      <c r="G3" s="158"/>
      <c r="H3" s="127">
        <f>'Último rebalanceo'!H3</f>
        <v>0.33300000000000002</v>
      </c>
      <c r="N3" s="28"/>
      <c r="U3" s="20"/>
    </row>
    <row r="4" spans="2:22" ht="16" thickTop="1" thickBot="1" x14ac:dyDescent="0.45">
      <c r="B4" s="55"/>
      <c r="C4" s="55"/>
      <c r="F4" s="158" t="s">
        <v>40</v>
      </c>
      <c r="G4" s="158"/>
      <c r="H4" s="128">
        <f>'Último rebalanceo'!H4</f>
        <v>0.33300000000000002</v>
      </c>
      <c r="N4" s="28"/>
      <c r="U4" s="20"/>
    </row>
    <row r="5" spans="2:22" ht="47" thickTop="1" thickBot="1" x14ac:dyDescent="0.5">
      <c r="B5" s="1" t="s">
        <v>41</v>
      </c>
      <c r="C5" s="1" t="s">
        <v>42</v>
      </c>
      <c r="D5" s="1" t="s">
        <v>43</v>
      </c>
      <c r="E5" s="117" t="s">
        <v>44</v>
      </c>
      <c r="F5" s="2" t="s">
        <v>45</v>
      </c>
      <c r="G5" s="2" t="s">
        <v>46</v>
      </c>
      <c r="H5" s="2" t="s">
        <v>47</v>
      </c>
      <c r="I5" s="117" t="s">
        <v>48</v>
      </c>
      <c r="J5" s="117" t="s">
        <v>49</v>
      </c>
      <c r="K5" s="2" t="s">
        <v>50</v>
      </c>
      <c r="M5" s="29"/>
      <c r="S5" s="94" t="s">
        <v>51</v>
      </c>
      <c r="T5" s="94" t="s">
        <v>52</v>
      </c>
      <c r="U5" s="94" t="s">
        <v>53</v>
      </c>
      <c r="V5" s="94" t="s">
        <v>54</v>
      </c>
    </row>
    <row r="6" spans="2:22" ht="16.5" thickTop="1" thickBot="1" x14ac:dyDescent="0.5">
      <c r="B6" s="3" t="str">
        <f>'Último rebalanceo'!B7</f>
        <v>TQQQ</v>
      </c>
      <c r="C6" s="37" t="str">
        <f>'Último rebalanceo'!C7</f>
        <v>ProShares UltraPro QQQ</v>
      </c>
      <c r="D6" s="70">
        <f>VLOOKUP(B6,'Último rebalanceo'!$B$7:$K$18,10,0)</f>
        <v>66.927290179730662</v>
      </c>
      <c r="E6" s="4">
        <f>VLOOKUP(B6,'Último rebalanceo'!$B$7:$L$18,11,0)</f>
        <v>71.849998474121094</v>
      </c>
      <c r="F6" s="5">
        <f>D6*E6</f>
        <v>4808.725697290708</v>
      </c>
      <c r="G6" s="5">
        <f>VLOOKUP(B6,'Último rebalanceo'!$B$7:$H$18,7,0)</f>
        <v>71.849998474121094</v>
      </c>
      <c r="H6" s="5">
        <f>D6*G6</f>
        <v>4808.725697290708</v>
      </c>
      <c r="I6" s="5">
        <v>0</v>
      </c>
      <c r="J6" s="6">
        <f>(H6+I6)/F6-1</f>
        <v>0</v>
      </c>
      <c r="K6" s="6">
        <f>H6/$H$20</f>
        <v>0.33400000000000002</v>
      </c>
      <c r="L6" s="9"/>
      <c r="M6" s="8"/>
      <c r="N6" s="9"/>
      <c r="O6" s="9"/>
      <c r="S6" s="95" t="s">
        <v>55</v>
      </c>
      <c r="T6" s="96" t="e">
        <f>SUMIF(#REF!,S6,$K$6:$K$18)</f>
        <v>#REF!</v>
      </c>
      <c r="U6" s="96" t="e">
        <f>SUMIF(#REF!,$S6,$K$31:$K$43)</f>
        <v>#REF!</v>
      </c>
      <c r="V6" s="96" t="e">
        <f>SUMIF(#REF!,$S6,$I$55:$I$67)</f>
        <v>#REF!</v>
      </c>
    </row>
    <row r="7" spans="2:22" ht="16.5" thickTop="1" thickBot="1" x14ac:dyDescent="0.5">
      <c r="B7" s="3" t="str">
        <f>'Último rebalanceo'!B8</f>
        <v>SPXL</v>
      </c>
      <c r="C7" s="37" t="str">
        <f>'Último rebalanceo'!C8</f>
        <v>Direxion Daily S&amp;P 500 Bull 3X Shares</v>
      </c>
      <c r="D7" s="70">
        <f>VLOOKUP(B7,'Último rebalanceo'!$B$7:$K$18,10,0)</f>
        <v>16.524188574170907</v>
      </c>
      <c r="E7" s="4">
        <f>VLOOKUP(B7,'Último rebalanceo'!$B$7:$L$18,11,0)</f>
        <v>290.1400146484375</v>
      </c>
      <c r="F7" s="5">
        <f t="shared" ref="F7:F17" si="0">D7*E7</f>
        <v>4794.3283149634908</v>
      </c>
      <c r="G7" s="5">
        <f>VLOOKUP(B7,'Último rebalanceo'!$B$7:$H$18,7,0)</f>
        <v>290.1400146484375</v>
      </c>
      <c r="H7" s="5">
        <f t="shared" ref="H7:H17" si="1">D7*G7</f>
        <v>4794.3283149634908</v>
      </c>
      <c r="I7" s="5">
        <v>0</v>
      </c>
      <c r="J7" s="6">
        <f t="shared" ref="J7:J17" si="2">(H7+I7)/F7-1</f>
        <v>0</v>
      </c>
      <c r="K7" s="6">
        <f t="shared" ref="K7:K17" si="3">H7/$H$20</f>
        <v>0.33300000000000007</v>
      </c>
      <c r="L7" s="9"/>
      <c r="M7" s="8"/>
      <c r="N7" s="9"/>
      <c r="O7" s="9"/>
      <c r="S7" s="95"/>
      <c r="T7" s="96"/>
      <c r="U7" s="96"/>
      <c r="V7" s="96"/>
    </row>
    <row r="8" spans="2:22" ht="16.5" thickTop="1" thickBot="1" x14ac:dyDescent="0.5">
      <c r="B8" s="3" t="str">
        <f>'Último rebalanceo'!B9</f>
        <v>UDOW</v>
      </c>
      <c r="C8" s="37" t="str">
        <f>'Último rebalanceo'!C9</f>
        <v>ProShares UltraPro Dow30</v>
      </c>
      <c r="D8" s="70">
        <f>VLOOKUP(B8,'Último rebalanceo'!$B$7:$K$18,10,0)</f>
        <v>64.902235504320799</v>
      </c>
      <c r="E8" s="4">
        <f>VLOOKUP(B8,'Último rebalanceo'!$B$7:$L$18,11,0)</f>
        <v>73.870002746582031</v>
      </c>
      <c r="F8" s="5">
        <f t="shared" si="0"/>
        <v>4794.3283149634917</v>
      </c>
      <c r="G8" s="5">
        <f>VLOOKUP(B8,'Último rebalanceo'!$B$7:$H$18,7,0)</f>
        <v>73.870002746582031</v>
      </c>
      <c r="H8" s="5">
        <f t="shared" si="1"/>
        <v>4794.3283149634917</v>
      </c>
      <c r="I8" s="5">
        <v>0</v>
      </c>
      <c r="J8" s="6">
        <f t="shared" si="2"/>
        <v>0</v>
      </c>
      <c r="K8" s="6">
        <f t="shared" si="3"/>
        <v>0.33300000000000013</v>
      </c>
      <c r="L8" s="9"/>
      <c r="M8" s="8"/>
      <c r="N8" s="9"/>
      <c r="O8" s="9"/>
      <c r="S8" s="95"/>
      <c r="T8" s="96"/>
      <c r="U8" s="96"/>
      <c r="V8" s="96"/>
    </row>
    <row r="9" spans="2:22" ht="16.5" thickTop="1" thickBot="1" x14ac:dyDescent="0.5">
      <c r="B9" s="3" t="str">
        <f>'Último rebalanceo'!B10</f>
        <v>QLD</v>
      </c>
      <c r="C9" s="37" t="str">
        <f>'Último rebalanceo'!C10</f>
        <v>ProShares Ultra QQQ</v>
      </c>
      <c r="D9" s="70">
        <f>VLOOKUP(B9,'Último rebalanceo'!$B$7:$K$18,10,0)</f>
        <v>0</v>
      </c>
      <c r="E9" s="4">
        <f>VLOOKUP(B9,'Último rebalanceo'!$B$7:$L$18,11,0)</f>
        <v>0</v>
      </c>
      <c r="F9" s="5">
        <f t="shared" si="0"/>
        <v>0</v>
      </c>
      <c r="G9" s="5">
        <f>VLOOKUP(B9,'Último rebalanceo'!$B$7:$H$18,7,0)</f>
        <v>90.169998168945313</v>
      </c>
      <c r="H9" s="5">
        <f t="shared" si="1"/>
        <v>0</v>
      </c>
      <c r="I9" s="5">
        <v>0</v>
      </c>
      <c r="J9" s="6" t="e">
        <f t="shared" si="2"/>
        <v>#DIV/0!</v>
      </c>
      <c r="K9" s="6">
        <f t="shared" si="3"/>
        <v>0</v>
      </c>
      <c r="L9" s="9"/>
      <c r="M9" s="8"/>
      <c r="N9" s="9"/>
      <c r="O9" s="9"/>
      <c r="S9" s="95"/>
      <c r="T9" s="96"/>
      <c r="U9" s="96"/>
      <c r="V9" s="96"/>
    </row>
    <row r="10" spans="2:22" ht="16.5" thickTop="1" thickBot="1" x14ac:dyDescent="0.5">
      <c r="B10" s="3" t="str">
        <f>'Último rebalanceo'!B11</f>
        <v>SSO</v>
      </c>
      <c r="C10" s="37" t="str">
        <f>'Último rebalanceo'!C11</f>
        <v>ProShares Ultra S&amp;P500</v>
      </c>
      <c r="D10" s="70">
        <f>VLOOKUP(B10,'Último rebalanceo'!$B$7:$K$18,10,0)</f>
        <v>0</v>
      </c>
      <c r="E10" s="4">
        <f>VLOOKUP(B10,'Último rebalanceo'!$B$7:$L$18,11,0)</f>
        <v>0</v>
      </c>
      <c r="F10" s="5">
        <f t="shared" si="0"/>
        <v>0</v>
      </c>
      <c r="G10" s="5">
        <f>VLOOKUP(B10,'Último rebalanceo'!$B$7:$H$18,7,0)</f>
        <v>70.739997863769531</v>
      </c>
      <c r="H10" s="5">
        <f t="shared" si="1"/>
        <v>0</v>
      </c>
      <c r="I10" s="5">
        <v>0</v>
      </c>
      <c r="J10" s="6" t="e">
        <f t="shared" si="2"/>
        <v>#DIV/0!</v>
      </c>
      <c r="K10" s="6">
        <f t="shared" si="3"/>
        <v>0</v>
      </c>
      <c r="L10" s="9"/>
      <c r="M10" s="8"/>
      <c r="N10" s="9"/>
      <c r="O10" s="9"/>
      <c r="S10" s="95"/>
      <c r="T10" s="96"/>
      <c r="U10" s="96"/>
      <c r="V10" s="96"/>
    </row>
    <row r="11" spans="2:22" ht="16.5" thickTop="1" thickBot="1" x14ac:dyDescent="0.5">
      <c r="B11" s="3" t="str">
        <f>'Último rebalanceo'!B12</f>
        <v>DDM</v>
      </c>
      <c r="C11" s="37" t="str">
        <f>'Último rebalanceo'!C12</f>
        <v>ProShares Ultra Dow30</v>
      </c>
      <c r="D11" s="70">
        <f>VLOOKUP(B11,'Último rebalanceo'!$B$7:$K$18,10,0)</f>
        <v>0</v>
      </c>
      <c r="E11" s="4">
        <f>VLOOKUP(B11,'Último rebalanceo'!$B$7:$L$18,11,0)</f>
        <v>0</v>
      </c>
      <c r="F11" s="5">
        <f t="shared" si="0"/>
        <v>0</v>
      </c>
      <c r="G11" s="5">
        <f>VLOOKUP(B11,'Último rebalanceo'!$B$7:$H$18,7,0)</f>
        <v>68.080001831054688</v>
      </c>
      <c r="H11" s="5">
        <f t="shared" si="1"/>
        <v>0</v>
      </c>
      <c r="I11" s="5">
        <v>0</v>
      </c>
      <c r="J11" s="6" t="e">
        <f t="shared" si="2"/>
        <v>#DIV/0!</v>
      </c>
      <c r="K11" s="6">
        <f t="shared" si="3"/>
        <v>0</v>
      </c>
      <c r="L11" s="9"/>
      <c r="M11" s="8"/>
      <c r="N11" s="9"/>
      <c r="O11" s="9"/>
      <c r="S11" s="95"/>
      <c r="T11" s="96"/>
      <c r="U11" s="96"/>
      <c r="V11" s="96"/>
    </row>
    <row r="12" spans="2:22" ht="16.5" thickTop="1" thickBot="1" x14ac:dyDescent="0.5">
      <c r="B12" s="3" t="str">
        <f>'Último rebalanceo'!B13</f>
        <v>QQQ</v>
      </c>
      <c r="C12" s="37" t="str">
        <f>'Último rebalanceo'!C13</f>
        <v>Invesco QQQ Trust</v>
      </c>
      <c r="D12" s="70">
        <f>VLOOKUP(B12,'Último rebalanceo'!$B$7:$K$18,10,0)</f>
        <v>0</v>
      </c>
      <c r="E12" s="4">
        <f>VLOOKUP(B12,'Último rebalanceo'!$B$7:$L$18,11,0)</f>
        <v>0</v>
      </c>
      <c r="F12" s="5">
        <f t="shared" si="0"/>
        <v>0</v>
      </c>
      <c r="G12" s="5">
        <f>VLOOKUP(B12,'Último rebalanceo'!$B$7:$H$18,7,0)</f>
        <v>716.42999267578125</v>
      </c>
      <c r="H12" s="5">
        <f t="shared" si="1"/>
        <v>0</v>
      </c>
      <c r="I12" s="5">
        <v>0</v>
      </c>
      <c r="J12" s="6" t="e">
        <f t="shared" si="2"/>
        <v>#DIV/0!</v>
      </c>
      <c r="K12" s="6">
        <f t="shared" si="3"/>
        <v>0</v>
      </c>
      <c r="L12" s="9"/>
      <c r="M12" s="8"/>
      <c r="N12" s="9"/>
      <c r="O12" s="9"/>
      <c r="S12" s="95"/>
      <c r="T12" s="96"/>
      <c r="U12" s="96"/>
      <c r="V12" s="96"/>
    </row>
    <row r="13" spans="2:22" ht="16.5" thickTop="1" thickBot="1" x14ac:dyDescent="0.5">
      <c r="B13" s="3" t="str">
        <f>'Último rebalanceo'!B14</f>
        <v>VOO</v>
      </c>
      <c r="C13" s="37" t="str">
        <f>'Último rebalanceo'!C14</f>
        <v>Vanguard S&amp;P 500 ETF</v>
      </c>
      <c r="D13" s="70">
        <f>VLOOKUP(B13,'Último rebalanceo'!$B$7:$K$18,10,0)</f>
        <v>0</v>
      </c>
      <c r="E13" s="4">
        <f>VLOOKUP(B13,'Último rebalanceo'!$B$7:$L$18,11,0)</f>
        <v>0</v>
      </c>
      <c r="F13" s="5">
        <f t="shared" si="0"/>
        <v>0</v>
      </c>
      <c r="G13" s="5">
        <f>VLOOKUP(B13,'Último rebalanceo'!$B$7:$H$18,7,0)</f>
        <v>707.239990234375</v>
      </c>
      <c r="H13" s="5">
        <f t="shared" si="1"/>
        <v>0</v>
      </c>
      <c r="I13" s="5">
        <v>0</v>
      </c>
      <c r="J13" s="6" t="e">
        <f t="shared" si="2"/>
        <v>#DIV/0!</v>
      </c>
      <c r="K13" s="6">
        <f t="shared" si="3"/>
        <v>0</v>
      </c>
      <c r="L13" s="9"/>
      <c r="M13" s="8"/>
      <c r="N13" s="9"/>
      <c r="O13" s="9"/>
      <c r="S13" s="95"/>
      <c r="T13" s="96"/>
      <c r="U13" s="96"/>
      <c r="V13" s="96"/>
    </row>
    <row r="14" spans="2:22" ht="16.5" thickTop="1" thickBot="1" x14ac:dyDescent="0.5">
      <c r="B14" s="3" t="str">
        <f>'Último rebalanceo'!B15</f>
        <v>DIA</v>
      </c>
      <c r="C14" s="37" t="str">
        <f>'Último rebalanceo'!C15</f>
        <v>SPDR Dow Jones Industrial Average ETF Trust</v>
      </c>
      <c r="D14" s="70">
        <f>VLOOKUP(B14,'Último rebalanceo'!$B$7:$K$18,10,0)</f>
        <v>0</v>
      </c>
      <c r="E14" s="4">
        <f>VLOOKUP(B14,'Último rebalanceo'!$B$7:$L$18,11,0)</f>
        <v>0</v>
      </c>
      <c r="F14" s="5">
        <f t="shared" si="0"/>
        <v>0</v>
      </c>
      <c r="G14" s="5">
        <f>VLOOKUP(B14,'Último rebalanceo'!$B$7:$H$18,7,0)</f>
        <v>535.05999755859375</v>
      </c>
      <c r="H14" s="5">
        <f t="shared" si="1"/>
        <v>0</v>
      </c>
      <c r="I14" s="5">
        <v>0</v>
      </c>
      <c r="J14" s="6" t="e">
        <f t="shared" si="2"/>
        <v>#DIV/0!</v>
      </c>
      <c r="K14" s="6">
        <f t="shared" si="3"/>
        <v>0</v>
      </c>
      <c r="L14" s="9"/>
      <c r="M14" s="8"/>
      <c r="N14" s="9"/>
      <c r="O14" s="9"/>
      <c r="S14" s="95"/>
      <c r="T14" s="96"/>
      <c r="U14" s="96"/>
      <c r="V14" s="96"/>
    </row>
    <row r="15" spans="2:22" ht="16.5" thickTop="1" thickBot="1" x14ac:dyDescent="0.5">
      <c r="B15" s="3" t="str">
        <f>'Último rebalanceo'!B16</f>
        <v>PSQ</v>
      </c>
      <c r="C15" s="37" t="str">
        <f>'Último rebalanceo'!C16</f>
        <v>ProShares Short QQQ</v>
      </c>
      <c r="D15" s="70">
        <f>VLOOKUP(B15,'Último rebalanceo'!$B$7:$K$18,10,0)</f>
        <v>0</v>
      </c>
      <c r="E15" s="4">
        <f>VLOOKUP(B15,'Último rebalanceo'!$B$7:$L$18,11,0)</f>
        <v>0</v>
      </c>
      <c r="F15" s="5">
        <f t="shared" si="0"/>
        <v>0</v>
      </c>
      <c r="G15" s="5">
        <f>VLOOKUP(B15,'Último rebalanceo'!$B$7:$H$18,7,0)</f>
        <v>25.819999694824219</v>
      </c>
      <c r="H15" s="5">
        <f t="shared" si="1"/>
        <v>0</v>
      </c>
      <c r="I15" s="5">
        <v>0</v>
      </c>
      <c r="J15" s="6" t="e">
        <f t="shared" si="2"/>
        <v>#DIV/0!</v>
      </c>
      <c r="K15" s="6">
        <f t="shared" si="3"/>
        <v>0</v>
      </c>
      <c r="L15" s="9"/>
      <c r="M15" s="8"/>
      <c r="N15" s="9"/>
      <c r="O15" s="9"/>
      <c r="S15" s="95" t="s">
        <v>56</v>
      </c>
      <c r="T15" s="96" t="e">
        <f>SUMIF(#REF!,S15,$K$6:$K$18)</f>
        <v>#REF!</v>
      </c>
      <c r="U15" s="96" t="e">
        <f>SUMIF(#REF!,$S15,$K$31:$K$43)</f>
        <v>#REF!</v>
      </c>
      <c r="V15" s="96" t="e">
        <f>SUMIF(#REF!,$S15,$I$55:$I$67)</f>
        <v>#REF!</v>
      </c>
    </row>
    <row r="16" spans="2:22" ht="16.5" thickTop="1" thickBot="1" x14ac:dyDescent="0.5">
      <c r="B16" s="3" t="str">
        <f>'Último rebalanceo'!B17</f>
        <v>SH</v>
      </c>
      <c r="C16" s="37" t="str">
        <f>'Último rebalanceo'!C17</f>
        <v>ProShares Short S&amp;P500</v>
      </c>
      <c r="D16" s="70">
        <f>VLOOKUP(B16,'Último rebalanceo'!$B$7:$K$18,10,0)</f>
        <v>0</v>
      </c>
      <c r="E16" s="4">
        <f>VLOOKUP(B16,'Último rebalanceo'!$B$7:$L$18,11,0)</f>
        <v>0</v>
      </c>
      <c r="F16" s="5">
        <f t="shared" si="0"/>
        <v>0</v>
      </c>
      <c r="G16" s="5">
        <f>VLOOKUP(B16,'Último rebalanceo'!$B$7:$H$18,7,0)</f>
        <v>32.330001831054688</v>
      </c>
      <c r="H16" s="5">
        <f t="shared" si="1"/>
        <v>0</v>
      </c>
      <c r="I16" s="5">
        <v>0</v>
      </c>
      <c r="J16" s="6" t="e">
        <f t="shared" si="2"/>
        <v>#DIV/0!</v>
      </c>
      <c r="K16" s="6">
        <f t="shared" si="3"/>
        <v>0</v>
      </c>
      <c r="L16" s="9"/>
      <c r="M16" s="8"/>
      <c r="N16" s="9"/>
      <c r="O16" s="9"/>
      <c r="S16" s="95" t="s">
        <v>57</v>
      </c>
      <c r="T16" s="96" t="e">
        <f>SUMIF(#REF!,S16,$K$6:$K$18)</f>
        <v>#REF!</v>
      </c>
      <c r="U16" s="96" t="e">
        <f>SUMIF(#REF!,$S16,$K$31:$K$43)</f>
        <v>#REF!</v>
      </c>
      <c r="V16" s="96" t="e">
        <f>SUMIF(#REF!,$S16,$I$55:$I$67)</f>
        <v>#REF!</v>
      </c>
    </row>
    <row r="17" spans="2:22" ht="16.5" thickTop="1" thickBot="1" x14ac:dyDescent="0.5">
      <c r="B17" s="3" t="str">
        <f>'Último rebalanceo'!B18</f>
        <v>DOG</v>
      </c>
      <c r="C17" s="37" t="str">
        <f>'Último rebalanceo'!C18</f>
        <v>ProShares Short Dow30</v>
      </c>
      <c r="D17" s="70">
        <f>VLOOKUP(B17,'Último rebalanceo'!$B$7:$K$18,10,0)</f>
        <v>0</v>
      </c>
      <c r="E17" s="4">
        <f>VLOOKUP(B17,'Último rebalanceo'!$B$7:$L$18,11,0)</f>
        <v>0</v>
      </c>
      <c r="F17" s="5">
        <f t="shared" si="0"/>
        <v>0</v>
      </c>
      <c r="G17" s="5">
        <f>VLOOKUP(B17,'Último rebalanceo'!$B$7:$H$18,7,0)</f>
        <v>21.290000915527344</v>
      </c>
      <c r="H17" s="5">
        <f t="shared" si="1"/>
        <v>0</v>
      </c>
      <c r="I17" s="5">
        <v>0</v>
      </c>
      <c r="J17" s="6" t="e">
        <f t="shared" si="2"/>
        <v>#DIV/0!</v>
      </c>
      <c r="K17" s="6">
        <f t="shared" si="3"/>
        <v>0</v>
      </c>
      <c r="L17" s="9"/>
      <c r="M17" s="8"/>
      <c r="N17" s="9"/>
      <c r="O17" s="9"/>
      <c r="S17" s="95" t="s">
        <v>58</v>
      </c>
      <c r="T17" s="96" t="e">
        <f>SUMIF(#REF!,S17,$K$6:$K$18)</f>
        <v>#REF!</v>
      </c>
      <c r="U17" s="96" t="e">
        <f>SUMIF(#REF!,$S17,$K$31:$K$43)</f>
        <v>#REF!</v>
      </c>
      <c r="V17" s="96" t="e">
        <f>SUMIF(#REF!,$S17,$I$55:$I$67)</f>
        <v>#REF!</v>
      </c>
    </row>
    <row r="18" spans="2:22" ht="15.5" thickTop="1" thickBot="1" x14ac:dyDescent="0.4">
      <c r="B18" s="3" t="s">
        <v>59</v>
      </c>
      <c r="C18" s="3"/>
      <c r="D18" s="70">
        <f>'Último rebalanceo'!K19</f>
        <v>-3.637978807091713E-12</v>
      </c>
      <c r="E18" s="4"/>
      <c r="F18" s="5"/>
      <c r="G18" s="5"/>
      <c r="H18" s="5">
        <f>D18</f>
        <v>-3.637978807091713E-12</v>
      </c>
      <c r="I18" s="14">
        <f>SUM(I6:I17)/D3</f>
        <v>0</v>
      </c>
      <c r="J18" s="6"/>
      <c r="K18" s="6">
        <f>H18/$H$20</f>
        <v>-2.5268335065425445E-16</v>
      </c>
    </row>
    <row r="19" spans="2:22" ht="15.5" thickTop="1" thickBot="1" x14ac:dyDescent="0.4">
      <c r="D19" s="27"/>
    </row>
    <row r="20" spans="2:22" ht="15.5" thickTop="1" thickBot="1" x14ac:dyDescent="0.4">
      <c r="B20" s="10" t="s">
        <v>60</v>
      </c>
      <c r="C20" s="10"/>
      <c r="D20" s="10"/>
      <c r="E20" s="10"/>
      <c r="F20" s="11"/>
      <c r="G20" s="11"/>
      <c r="H20" s="11">
        <f>SUM(H6:H18)</f>
        <v>14397.382327217687</v>
      </c>
      <c r="I20" s="106" t="s">
        <v>61</v>
      </c>
      <c r="J20" s="14">
        <f>H20/D3-1</f>
        <v>3.7991274424058954</v>
      </c>
      <c r="K20" s="12">
        <f>SUM(K6:K18)</f>
        <v>1</v>
      </c>
      <c r="L20" s="19"/>
      <c r="M20" s="19"/>
      <c r="N20" s="19"/>
      <c r="O20" s="19"/>
    </row>
    <row r="21" spans="2:22" ht="15.5" thickTop="1" thickBot="1" x14ac:dyDescent="0.4">
      <c r="B21" s="50"/>
      <c r="C21" s="50"/>
      <c r="D21" s="50"/>
      <c r="E21" s="50"/>
      <c r="F21" s="51"/>
      <c r="G21" s="51"/>
      <c r="H21" s="51"/>
      <c r="I21" s="107" t="s">
        <v>62</v>
      </c>
      <c r="J21" s="14">
        <f>LN(H20/D3)</f>
        <v>1.5684341185572386</v>
      </c>
      <c r="K21" s="74"/>
      <c r="L21" s="19"/>
      <c r="M21" s="19"/>
      <c r="N21" s="19"/>
      <c r="O21" s="19"/>
    </row>
    <row r="22" spans="2:22" ht="15" thickTop="1" x14ac:dyDescent="0.35">
      <c r="B22" s="50"/>
      <c r="C22" s="50"/>
      <c r="D22" s="50"/>
      <c r="E22" s="50"/>
      <c r="F22" s="51"/>
      <c r="G22" s="51"/>
      <c r="K22" s="74"/>
      <c r="L22" s="19"/>
      <c r="M22" s="19"/>
      <c r="N22" s="19"/>
      <c r="O22" s="19"/>
    </row>
    <row r="23" spans="2:22" ht="17" x14ac:dyDescent="0.45">
      <c r="B23" s="155" t="s">
        <v>63</v>
      </c>
      <c r="C23" s="155"/>
      <c r="M23" s="19"/>
      <c r="N23" s="19"/>
      <c r="O23" s="19"/>
    </row>
    <row r="24" spans="2:22" ht="15" hidden="1" outlineLevel="1" x14ac:dyDescent="0.4">
      <c r="B24" s="157" t="s">
        <v>38</v>
      </c>
      <c r="C24" s="157"/>
      <c r="D24" s="78">
        <v>2850</v>
      </c>
      <c r="E24" s="16"/>
      <c r="M24" s="19"/>
      <c r="N24" s="19"/>
      <c r="O24" s="19"/>
    </row>
    <row r="25" spans="2:22" ht="15" hidden="1" outlineLevel="1" x14ac:dyDescent="0.4">
      <c r="B25" s="157" t="s">
        <v>64</v>
      </c>
      <c r="C25" s="157"/>
      <c r="D25" s="119">
        <v>0</v>
      </c>
      <c r="E25" s="75"/>
      <c r="F25" s="75"/>
      <c r="G25" s="75"/>
      <c r="H25" s="75"/>
      <c r="I25" s="75"/>
      <c r="J25" s="75"/>
      <c r="K25" s="75"/>
      <c r="M25" s="19"/>
      <c r="N25" s="19"/>
      <c r="O25" s="19"/>
    </row>
    <row r="26" spans="2:22" ht="15" hidden="1" customHeight="1" outlineLevel="1" x14ac:dyDescent="0.35">
      <c r="B26" s="152" t="s">
        <v>65</v>
      </c>
      <c r="C26" s="152"/>
      <c r="D26" s="152"/>
      <c r="E26" s="152"/>
      <c r="F26" s="152"/>
      <c r="G26" s="152"/>
      <c r="H26" s="152"/>
      <c r="I26" s="152"/>
      <c r="J26" s="152"/>
      <c r="K26" s="152"/>
      <c r="M26" s="19"/>
      <c r="N26" s="19"/>
      <c r="O26" s="19"/>
    </row>
    <row r="27" spans="2:22" ht="15" hidden="1" customHeight="1" outlineLevel="1" x14ac:dyDescent="0.35">
      <c r="B27" s="152"/>
      <c r="C27" s="152"/>
      <c r="D27" s="152"/>
      <c r="E27" s="152"/>
      <c r="F27" s="152"/>
      <c r="G27" s="152"/>
      <c r="H27" s="152"/>
      <c r="I27" s="152"/>
      <c r="J27" s="152"/>
      <c r="K27" s="152"/>
      <c r="M27" s="19"/>
      <c r="N27" s="19"/>
      <c r="O27" s="19"/>
    </row>
    <row r="28" spans="2:22" ht="15" hidden="1" customHeight="1" outlineLevel="1" x14ac:dyDescent="0.4">
      <c r="B28" s="93"/>
      <c r="C28" s="93"/>
      <c r="D28" s="93"/>
      <c r="E28" s="93"/>
      <c r="F28" s="93"/>
      <c r="G28" s="93"/>
      <c r="H28" s="93"/>
      <c r="I28" s="93"/>
      <c r="J28" s="93"/>
      <c r="K28" s="93"/>
      <c r="M28" s="19"/>
      <c r="N28" s="19"/>
      <c r="O28" s="19"/>
    </row>
    <row r="29" spans="2:22" ht="16.5" hidden="1" outlineLevel="1" thickBot="1" x14ac:dyDescent="0.5">
      <c r="B29" s="156" t="s">
        <v>66</v>
      </c>
      <c r="C29" s="156"/>
      <c r="M29" s="19"/>
      <c r="N29" s="19"/>
      <c r="O29" s="19"/>
    </row>
    <row r="30" spans="2:22" ht="36" hidden="1" outlineLevel="1" thickTop="1" thickBot="1" x14ac:dyDescent="0.4">
      <c r="B30" s="17" t="s">
        <v>41</v>
      </c>
      <c r="C30" s="17" t="s">
        <v>42</v>
      </c>
      <c r="D30" s="17" t="s">
        <v>43</v>
      </c>
      <c r="E30" s="18" t="s">
        <v>67</v>
      </c>
      <c r="F30" s="17" t="s">
        <v>68</v>
      </c>
      <c r="G30" s="18" t="s">
        <v>69</v>
      </c>
      <c r="H30" s="17" t="s">
        <v>70</v>
      </c>
      <c r="I30" s="18" t="s">
        <v>48</v>
      </c>
      <c r="J30" s="18" t="s">
        <v>71</v>
      </c>
      <c r="K30" s="18" t="s">
        <v>72</v>
      </c>
      <c r="L30" s="2" t="s">
        <v>50</v>
      </c>
      <c r="M30" s="72" t="s">
        <v>73</v>
      </c>
      <c r="N30" s="21"/>
      <c r="O30" s="19"/>
    </row>
    <row r="31" spans="2:22" ht="15.5" hidden="1" outlineLevel="1" thickTop="1" thickBot="1" x14ac:dyDescent="0.4">
      <c r="B31" s="3" t="str">
        <f>B6</f>
        <v>TQQQ</v>
      </c>
      <c r="C31" s="3" t="str">
        <f>C6</f>
        <v>ProShares UltraPro QQQ</v>
      </c>
      <c r="D31" s="70">
        <f>VLOOKUP(B31,'Último rebalanceo'!$B$45:$K$56,10,0)</f>
        <v>35.672263599521877</v>
      </c>
      <c r="E31" s="70">
        <f>VLOOKUP(B31,'Último rebalanceo'!$B$45:$L$56,11,0)</f>
        <v>71.849998474121094</v>
      </c>
      <c r="F31" s="5">
        <f>D31*E31</f>
        <v>2563.0520851940923</v>
      </c>
      <c r="G31" s="5">
        <f>G6</f>
        <v>71.849998474121094</v>
      </c>
      <c r="H31" s="5">
        <f>D31*G31</f>
        <v>2563.0520851940923</v>
      </c>
      <c r="I31" s="77">
        <v>0</v>
      </c>
      <c r="J31" s="6">
        <f>(H31+I31)/F31-1</f>
        <v>0</v>
      </c>
      <c r="K31" s="6">
        <f>H31/$H$45</f>
        <v>0.33400000000000007</v>
      </c>
      <c r="L31" s="6">
        <f>K6</f>
        <v>0.33400000000000002</v>
      </c>
      <c r="M31" s="22">
        <f>K31-L31</f>
        <v>0</v>
      </c>
      <c r="N31" s="21"/>
      <c r="O31" s="19"/>
    </row>
    <row r="32" spans="2:22" ht="15.5" hidden="1" outlineLevel="1" thickTop="1" thickBot="1" x14ac:dyDescent="0.4">
      <c r="B32" s="3" t="str">
        <f t="shared" ref="B32:C32" si="4">B7</f>
        <v>SPXL</v>
      </c>
      <c r="C32" s="3" t="str">
        <f t="shared" si="4"/>
        <v>Direxion Daily S&amp;P 500 Bull 3X Shares</v>
      </c>
      <c r="D32" s="70">
        <f>VLOOKUP(B32,'Último rebalanceo'!$B$45:$K$56,10,0)</f>
        <v>8.8073969378271997</v>
      </c>
      <c r="E32" s="70">
        <f>VLOOKUP(B32,'Último rebalanceo'!$B$45:$L$56,11,0)</f>
        <v>290.1400146484375</v>
      </c>
      <c r="F32" s="5">
        <f t="shared" ref="F32:F42" si="5">D32*E32</f>
        <v>2555.3782765557871</v>
      </c>
      <c r="G32" s="5">
        <f t="shared" ref="G32:G42" si="6">G7</f>
        <v>290.1400146484375</v>
      </c>
      <c r="H32" s="5">
        <f t="shared" ref="H32:H42" si="7">D32*G32</f>
        <v>2555.3782765557871</v>
      </c>
      <c r="I32" s="77">
        <v>0</v>
      </c>
      <c r="J32" s="6">
        <f t="shared" ref="J32:J42" si="8">(H32+I32)/F32-1</f>
        <v>0</v>
      </c>
      <c r="K32" s="6">
        <f t="shared" ref="K32:K42" si="9">H32/$H$45</f>
        <v>0.33300000000000013</v>
      </c>
      <c r="L32" s="6">
        <f t="shared" ref="L32:L42" si="10">K7</f>
        <v>0.33300000000000007</v>
      </c>
      <c r="M32" s="22">
        <f t="shared" ref="M32:M42" si="11">K32-L32</f>
        <v>0</v>
      </c>
      <c r="N32" s="21"/>
      <c r="O32" s="19"/>
    </row>
    <row r="33" spans="2:16" ht="15.5" hidden="1" outlineLevel="1" thickTop="1" thickBot="1" x14ac:dyDescent="0.4">
      <c r="B33" s="3" t="str">
        <f t="shared" ref="B33:C33" si="12">B8</f>
        <v>UDOW</v>
      </c>
      <c r="C33" s="3" t="str">
        <f t="shared" si="12"/>
        <v>ProShares UltraPro Dow30</v>
      </c>
      <c r="D33" s="70">
        <f>VLOOKUP(B33,'Último rebalanceo'!$B$45:$K$56,10,0)</f>
        <v>34.592908914898139</v>
      </c>
      <c r="E33" s="70">
        <f>VLOOKUP(B33,'Último rebalanceo'!$B$45:$L$56,11,0)</f>
        <v>73.870002746582031</v>
      </c>
      <c r="F33" s="5">
        <f t="shared" si="5"/>
        <v>2555.3782765557876</v>
      </c>
      <c r="G33" s="5">
        <f t="shared" si="6"/>
        <v>73.870002746582031</v>
      </c>
      <c r="H33" s="5">
        <f t="shared" si="7"/>
        <v>2555.3782765557876</v>
      </c>
      <c r="I33" s="77">
        <v>0</v>
      </c>
      <c r="J33" s="6">
        <f t="shared" si="8"/>
        <v>0</v>
      </c>
      <c r="K33" s="6">
        <f t="shared" si="9"/>
        <v>0.33300000000000018</v>
      </c>
      <c r="L33" s="6">
        <f t="shared" si="10"/>
        <v>0.33300000000000013</v>
      </c>
      <c r="M33" s="22">
        <f t="shared" si="11"/>
        <v>0</v>
      </c>
      <c r="N33" s="21"/>
      <c r="O33" s="19"/>
    </row>
    <row r="34" spans="2:16" ht="15.5" hidden="1" outlineLevel="1" thickTop="1" thickBot="1" x14ac:dyDescent="0.4">
      <c r="B34" s="3" t="str">
        <f t="shared" ref="B34:C34" si="13">B9</f>
        <v>QLD</v>
      </c>
      <c r="C34" s="3" t="str">
        <f t="shared" si="13"/>
        <v>ProShares Ultra QQQ</v>
      </c>
      <c r="D34" s="70">
        <f>VLOOKUP(B34,'Último rebalanceo'!$B$45:$K$56,10,0)</f>
        <v>0</v>
      </c>
      <c r="E34" s="70">
        <f>VLOOKUP(B34,'Último rebalanceo'!$B$45:$L$56,11,0)</f>
        <v>0</v>
      </c>
      <c r="F34" s="5">
        <f t="shared" si="5"/>
        <v>0</v>
      </c>
      <c r="G34" s="5">
        <f t="shared" si="6"/>
        <v>90.169998168945313</v>
      </c>
      <c r="H34" s="5">
        <f t="shared" si="7"/>
        <v>0</v>
      </c>
      <c r="I34" s="77">
        <v>0</v>
      </c>
      <c r="J34" s="6" t="e">
        <f t="shared" si="8"/>
        <v>#DIV/0!</v>
      </c>
      <c r="K34" s="6">
        <f t="shared" si="9"/>
        <v>0</v>
      </c>
      <c r="L34" s="6">
        <f t="shared" si="10"/>
        <v>0</v>
      </c>
      <c r="M34" s="22">
        <f t="shared" si="11"/>
        <v>0</v>
      </c>
      <c r="N34" s="21"/>
      <c r="O34" s="19"/>
    </row>
    <row r="35" spans="2:16" ht="15.5" hidden="1" outlineLevel="1" thickTop="1" thickBot="1" x14ac:dyDescent="0.4">
      <c r="B35" s="3" t="str">
        <f t="shared" ref="B35:C35" si="14">B10</f>
        <v>SSO</v>
      </c>
      <c r="C35" s="3" t="str">
        <f t="shared" si="14"/>
        <v>ProShares Ultra S&amp;P500</v>
      </c>
      <c r="D35" s="70">
        <f>VLOOKUP(B35,'Último rebalanceo'!$B$45:$K$56,10,0)</f>
        <v>0</v>
      </c>
      <c r="E35" s="70">
        <f>VLOOKUP(B35,'Último rebalanceo'!$B$45:$L$56,11,0)</f>
        <v>0</v>
      </c>
      <c r="F35" s="5">
        <f t="shared" si="5"/>
        <v>0</v>
      </c>
      <c r="G35" s="5">
        <f t="shared" si="6"/>
        <v>70.739997863769531</v>
      </c>
      <c r="H35" s="5">
        <f t="shared" si="7"/>
        <v>0</v>
      </c>
      <c r="I35" s="77">
        <v>0</v>
      </c>
      <c r="J35" s="6" t="e">
        <f t="shared" si="8"/>
        <v>#DIV/0!</v>
      </c>
      <c r="K35" s="6">
        <f t="shared" si="9"/>
        <v>0</v>
      </c>
      <c r="L35" s="6">
        <f t="shared" si="10"/>
        <v>0</v>
      </c>
      <c r="M35" s="22">
        <f t="shared" si="11"/>
        <v>0</v>
      </c>
      <c r="N35" s="21"/>
      <c r="O35" s="19"/>
    </row>
    <row r="36" spans="2:16" ht="15.5" hidden="1" outlineLevel="1" thickTop="1" thickBot="1" x14ac:dyDescent="0.4">
      <c r="B36" s="3" t="str">
        <f t="shared" ref="B36:C36" si="15">B11</f>
        <v>DDM</v>
      </c>
      <c r="C36" s="3" t="str">
        <f t="shared" si="15"/>
        <v>ProShares Ultra Dow30</v>
      </c>
      <c r="D36" s="70">
        <f>VLOOKUP(B36,'Último rebalanceo'!$B$45:$K$56,10,0)</f>
        <v>0</v>
      </c>
      <c r="E36" s="70">
        <f>VLOOKUP(B36,'Último rebalanceo'!$B$45:$L$56,11,0)</f>
        <v>0</v>
      </c>
      <c r="F36" s="5">
        <f t="shared" si="5"/>
        <v>0</v>
      </c>
      <c r="G36" s="5">
        <f t="shared" si="6"/>
        <v>68.080001831054688</v>
      </c>
      <c r="H36" s="5">
        <f t="shared" si="7"/>
        <v>0</v>
      </c>
      <c r="I36" s="77">
        <v>0</v>
      </c>
      <c r="J36" s="6" t="e">
        <f t="shared" si="8"/>
        <v>#DIV/0!</v>
      </c>
      <c r="K36" s="6">
        <f t="shared" si="9"/>
        <v>0</v>
      </c>
      <c r="L36" s="6">
        <f t="shared" si="10"/>
        <v>0</v>
      </c>
      <c r="M36" s="22">
        <f t="shared" si="11"/>
        <v>0</v>
      </c>
      <c r="N36" s="21"/>
      <c r="O36" s="19"/>
    </row>
    <row r="37" spans="2:16" ht="15.5" hidden="1" outlineLevel="1" thickTop="1" thickBot="1" x14ac:dyDescent="0.4">
      <c r="B37" s="3" t="str">
        <f t="shared" ref="B37:C37" si="16">B12</f>
        <v>QQQ</v>
      </c>
      <c r="C37" s="3" t="str">
        <f t="shared" si="16"/>
        <v>Invesco QQQ Trust</v>
      </c>
      <c r="D37" s="70">
        <f>VLOOKUP(B37,'Último rebalanceo'!$B$45:$K$56,10,0)</f>
        <v>0</v>
      </c>
      <c r="E37" s="70">
        <f>VLOOKUP(B37,'Último rebalanceo'!$B$45:$L$56,11,0)</f>
        <v>0</v>
      </c>
      <c r="F37" s="5">
        <f t="shared" si="5"/>
        <v>0</v>
      </c>
      <c r="G37" s="5">
        <f t="shared" si="6"/>
        <v>716.42999267578125</v>
      </c>
      <c r="H37" s="5">
        <f t="shared" si="7"/>
        <v>0</v>
      </c>
      <c r="I37" s="77">
        <v>0</v>
      </c>
      <c r="J37" s="6" t="e">
        <f t="shared" si="8"/>
        <v>#DIV/0!</v>
      </c>
      <c r="K37" s="6">
        <f t="shared" si="9"/>
        <v>0</v>
      </c>
      <c r="L37" s="6">
        <f t="shared" si="10"/>
        <v>0</v>
      </c>
      <c r="M37" s="22">
        <f t="shared" si="11"/>
        <v>0</v>
      </c>
      <c r="N37" s="21"/>
      <c r="O37" s="19"/>
    </row>
    <row r="38" spans="2:16" ht="15.5" hidden="1" outlineLevel="1" thickTop="1" thickBot="1" x14ac:dyDescent="0.4">
      <c r="B38" s="3" t="str">
        <f t="shared" ref="B38:C38" si="17">B13</f>
        <v>VOO</v>
      </c>
      <c r="C38" s="3" t="str">
        <f t="shared" si="17"/>
        <v>Vanguard S&amp;P 500 ETF</v>
      </c>
      <c r="D38" s="70">
        <f>VLOOKUP(B38,'Último rebalanceo'!$B$45:$K$56,10,0)</f>
        <v>0</v>
      </c>
      <c r="E38" s="70">
        <f>VLOOKUP(B38,'Último rebalanceo'!$B$45:$L$56,11,0)</f>
        <v>0</v>
      </c>
      <c r="F38" s="5">
        <f t="shared" si="5"/>
        <v>0</v>
      </c>
      <c r="G38" s="5">
        <f t="shared" si="6"/>
        <v>707.239990234375</v>
      </c>
      <c r="H38" s="5">
        <f t="shared" si="7"/>
        <v>0</v>
      </c>
      <c r="I38" s="77">
        <v>0</v>
      </c>
      <c r="J38" s="6" t="e">
        <f t="shared" si="8"/>
        <v>#DIV/0!</v>
      </c>
      <c r="K38" s="6">
        <f t="shared" si="9"/>
        <v>0</v>
      </c>
      <c r="L38" s="6">
        <f t="shared" si="10"/>
        <v>0</v>
      </c>
      <c r="M38" s="22">
        <f t="shared" si="11"/>
        <v>0</v>
      </c>
      <c r="N38" s="21"/>
      <c r="O38" s="19"/>
    </row>
    <row r="39" spans="2:16" ht="15.5" hidden="1" outlineLevel="1" thickTop="1" thickBot="1" x14ac:dyDescent="0.4">
      <c r="B39" s="3" t="str">
        <f t="shared" ref="B39:C39" si="18">B14</f>
        <v>DIA</v>
      </c>
      <c r="C39" s="3" t="str">
        <f t="shared" si="18"/>
        <v>SPDR Dow Jones Industrial Average ETF Trust</v>
      </c>
      <c r="D39" s="70">
        <f>VLOOKUP(B39,'Último rebalanceo'!$B$45:$K$56,10,0)</f>
        <v>0</v>
      </c>
      <c r="E39" s="70">
        <f>VLOOKUP(B39,'Último rebalanceo'!$B$45:$L$56,11,0)</f>
        <v>0</v>
      </c>
      <c r="F39" s="5">
        <f t="shared" si="5"/>
        <v>0</v>
      </c>
      <c r="G39" s="5">
        <f t="shared" si="6"/>
        <v>535.05999755859375</v>
      </c>
      <c r="H39" s="5">
        <f t="shared" si="7"/>
        <v>0</v>
      </c>
      <c r="I39" s="77">
        <v>0</v>
      </c>
      <c r="J39" s="6" t="e">
        <f t="shared" si="8"/>
        <v>#DIV/0!</v>
      </c>
      <c r="K39" s="6">
        <f t="shared" si="9"/>
        <v>0</v>
      </c>
      <c r="L39" s="6">
        <f t="shared" si="10"/>
        <v>0</v>
      </c>
      <c r="M39" s="22">
        <f t="shared" si="11"/>
        <v>0</v>
      </c>
      <c r="N39" s="21"/>
      <c r="O39" s="19"/>
    </row>
    <row r="40" spans="2:16" ht="15.5" hidden="1" outlineLevel="1" thickTop="1" thickBot="1" x14ac:dyDescent="0.4">
      <c r="B40" s="3" t="str">
        <f t="shared" ref="B40:C40" si="19">B15</f>
        <v>PSQ</v>
      </c>
      <c r="C40" s="3" t="str">
        <f t="shared" si="19"/>
        <v>ProShares Short QQQ</v>
      </c>
      <c r="D40" s="70">
        <f>VLOOKUP(B40,'Último rebalanceo'!$B$45:$K$56,10,0)</f>
        <v>0</v>
      </c>
      <c r="E40" s="70">
        <f>VLOOKUP(B40,'Último rebalanceo'!$B$45:$L$56,11,0)</f>
        <v>0</v>
      </c>
      <c r="F40" s="5">
        <f t="shared" si="5"/>
        <v>0</v>
      </c>
      <c r="G40" s="5">
        <f t="shared" si="6"/>
        <v>25.819999694824219</v>
      </c>
      <c r="H40" s="5">
        <f t="shared" si="7"/>
        <v>0</v>
      </c>
      <c r="I40" s="77">
        <v>0</v>
      </c>
      <c r="J40" s="6" t="e">
        <f t="shared" si="8"/>
        <v>#DIV/0!</v>
      </c>
      <c r="K40" s="6">
        <f t="shared" si="9"/>
        <v>0</v>
      </c>
      <c r="L40" s="6">
        <f t="shared" si="10"/>
        <v>0</v>
      </c>
      <c r="M40" s="22">
        <f t="shared" si="11"/>
        <v>0</v>
      </c>
      <c r="N40" s="21"/>
      <c r="O40" s="19"/>
    </row>
    <row r="41" spans="2:16" ht="15.5" hidden="1" outlineLevel="1" thickTop="1" thickBot="1" x14ac:dyDescent="0.4">
      <c r="B41" s="3" t="str">
        <f t="shared" ref="B41:C41" si="20">B16</f>
        <v>SH</v>
      </c>
      <c r="C41" s="3" t="str">
        <f t="shared" si="20"/>
        <v>ProShares Short S&amp;P500</v>
      </c>
      <c r="D41" s="70">
        <f>VLOOKUP(B41,'Último rebalanceo'!$B$45:$K$56,10,0)</f>
        <v>0</v>
      </c>
      <c r="E41" s="70">
        <f>VLOOKUP(B41,'Último rebalanceo'!$B$45:$L$56,11,0)</f>
        <v>0</v>
      </c>
      <c r="F41" s="5">
        <f t="shared" si="5"/>
        <v>0</v>
      </c>
      <c r="G41" s="5">
        <f t="shared" si="6"/>
        <v>32.330001831054688</v>
      </c>
      <c r="H41" s="5">
        <f t="shared" si="7"/>
        <v>0</v>
      </c>
      <c r="I41" s="77">
        <v>0</v>
      </c>
      <c r="J41" s="6" t="e">
        <f t="shared" si="8"/>
        <v>#DIV/0!</v>
      </c>
      <c r="K41" s="6">
        <f t="shared" si="9"/>
        <v>0</v>
      </c>
      <c r="L41" s="6">
        <f t="shared" si="10"/>
        <v>0</v>
      </c>
      <c r="M41" s="22">
        <f t="shared" si="11"/>
        <v>0</v>
      </c>
      <c r="N41" s="21"/>
      <c r="O41" s="19"/>
    </row>
    <row r="42" spans="2:16" ht="15.5" hidden="1" outlineLevel="1" thickTop="1" thickBot="1" x14ac:dyDescent="0.4">
      <c r="B42" s="3" t="str">
        <f t="shared" ref="B42:C42" si="21">B17</f>
        <v>DOG</v>
      </c>
      <c r="C42" s="3" t="str">
        <f t="shared" si="21"/>
        <v>ProShares Short Dow30</v>
      </c>
      <c r="D42" s="70">
        <f>VLOOKUP(B42,'Último rebalanceo'!$B$45:$K$56,10,0)</f>
        <v>0</v>
      </c>
      <c r="E42" s="70">
        <f>VLOOKUP(B42,'Último rebalanceo'!$B$45:$L$56,11,0)</f>
        <v>0</v>
      </c>
      <c r="F42" s="5">
        <f t="shared" si="5"/>
        <v>0</v>
      </c>
      <c r="G42" s="5">
        <f t="shared" si="6"/>
        <v>21.290000915527344</v>
      </c>
      <c r="H42" s="5">
        <f t="shared" si="7"/>
        <v>0</v>
      </c>
      <c r="I42" s="77">
        <v>0</v>
      </c>
      <c r="J42" s="6" t="e">
        <f t="shared" si="8"/>
        <v>#DIV/0!</v>
      </c>
      <c r="K42" s="6">
        <f t="shared" si="9"/>
        <v>0</v>
      </c>
      <c r="L42" s="6">
        <f t="shared" si="10"/>
        <v>0</v>
      </c>
      <c r="M42" s="22">
        <f t="shared" si="11"/>
        <v>0</v>
      </c>
      <c r="N42" s="21"/>
      <c r="O42" s="19"/>
    </row>
    <row r="43" spans="2:16" ht="15.5" hidden="1" outlineLevel="1" thickTop="1" thickBot="1" x14ac:dyDescent="0.4">
      <c r="B43" s="3" t="s">
        <v>59</v>
      </c>
      <c r="C43" s="3"/>
      <c r="D43" s="70">
        <f>'Último rebalanceo'!K57</f>
        <v>-2.7284841053187847E-12</v>
      </c>
      <c r="E43" s="70"/>
      <c r="F43" s="5"/>
      <c r="G43" s="5"/>
      <c r="H43" s="5">
        <f>D43</f>
        <v>-2.7284841053187847E-12</v>
      </c>
      <c r="I43" s="5"/>
      <c r="J43" s="6"/>
      <c r="K43" s="6">
        <f>H43/$H$45</f>
        <v>-3.555580069717792E-16</v>
      </c>
      <c r="L43" s="6">
        <f>K18</f>
        <v>-2.5268335065425445E-16</v>
      </c>
      <c r="M43" s="22">
        <f>K43-L43</f>
        <v>-1.0287465631752475E-16</v>
      </c>
      <c r="N43" s="21"/>
      <c r="O43" s="19"/>
    </row>
    <row r="44" spans="2:16" ht="15.65" hidden="1" customHeight="1" outlineLevel="1" thickTop="1" thickBot="1" x14ac:dyDescent="0.4">
      <c r="M44" s="23"/>
      <c r="N44" s="21"/>
      <c r="O44" s="19"/>
    </row>
    <row r="45" spans="2:16" ht="15.5" hidden="1" outlineLevel="1" thickTop="1" thickBot="1" x14ac:dyDescent="0.4">
      <c r="B45" s="10" t="s">
        <v>60</v>
      </c>
      <c r="C45" s="10"/>
      <c r="D45" s="10"/>
      <c r="E45" s="10"/>
      <c r="F45" s="11"/>
      <c r="G45" s="11"/>
      <c r="H45" s="11">
        <f>SUM(H31:H43)</f>
        <v>7673.8086383056643</v>
      </c>
      <c r="I45" s="11">
        <f>SUM(I31:I43)</f>
        <v>0</v>
      </c>
      <c r="J45" s="14">
        <f>H45/(D24+D25)-1</f>
        <v>1.6925644344932156</v>
      </c>
      <c r="K45" s="12">
        <f>SUM(K31:K43)</f>
        <v>1</v>
      </c>
      <c r="L45" s="12">
        <f>SUM(L31:L43)</f>
        <v>1</v>
      </c>
      <c r="M45" s="13">
        <f t="array" ref="M45">SUM(ABS(M31:M43))</f>
        <v>1.0287465631752475E-16</v>
      </c>
      <c r="N45" s="25" t="str">
        <f>IF(M45&lt;0.1,"Excelente",IF(AND(M45&lt;=0.2,M45&gt;=0.1),"Buena",IF(AND(M45&lt;=0.35,M45&gt;0.2),"Regular","Mala")))</f>
        <v>Excelente</v>
      </c>
      <c r="O45" s="19"/>
    </row>
    <row r="46" spans="2:16" ht="23.5" hidden="1" customHeight="1" outlineLevel="1" thickTop="1" thickBot="1" x14ac:dyDescent="0.4">
      <c r="I46" s="107" t="s">
        <v>62</v>
      </c>
      <c r="J46" s="14">
        <f>LN(H45/(D24+D25))</f>
        <v>0.99049406086446368</v>
      </c>
      <c r="M46" s="150" t="s">
        <v>74</v>
      </c>
      <c r="N46" s="151"/>
      <c r="O46" s="19"/>
    </row>
    <row r="47" spans="2:16" ht="15" hidden="1" outlineLevel="1" thickTop="1" x14ac:dyDescent="0.35">
      <c r="F47" s="28"/>
      <c r="H47" s="28"/>
      <c r="P47" s="9"/>
    </row>
    <row r="48" spans="2:16" collapsed="1" x14ac:dyDescent="0.35">
      <c r="P48" s="19"/>
    </row>
    <row r="49" spans="2:15" ht="17" x14ac:dyDescent="0.45">
      <c r="B49" s="155" t="s">
        <v>75</v>
      </c>
      <c r="C49" s="155"/>
      <c r="H49" s="105"/>
    </row>
    <row r="50" spans="2:15" ht="15" hidden="1" outlineLevel="1" x14ac:dyDescent="0.4">
      <c r="B50" s="157" t="s">
        <v>76</v>
      </c>
      <c r="C50" s="157"/>
      <c r="D50" s="78">
        <v>15000</v>
      </c>
      <c r="E50" s="16"/>
      <c r="G50" s="105"/>
    </row>
    <row r="51" spans="2:15" ht="15" hidden="1" outlineLevel="1" x14ac:dyDescent="0.4">
      <c r="B51" s="153" t="s">
        <v>77</v>
      </c>
      <c r="C51" s="153"/>
      <c r="D51" s="153"/>
      <c r="E51" s="153"/>
      <c r="F51" s="153"/>
      <c r="G51" s="153"/>
      <c r="H51" s="153"/>
      <c r="I51" s="153"/>
      <c r="J51" s="153"/>
      <c r="K51" s="153"/>
    </row>
    <row r="52" spans="2:15" ht="15" hidden="1" outlineLevel="1" x14ac:dyDescent="0.4">
      <c r="B52" s="26"/>
      <c r="C52" s="26"/>
      <c r="D52" s="26"/>
      <c r="E52" s="26"/>
      <c r="F52" s="26"/>
      <c r="G52" s="26"/>
      <c r="H52" s="26"/>
      <c r="I52" s="26"/>
      <c r="J52" s="26"/>
    </row>
    <row r="53" spans="2:15" ht="16.5" hidden="1" outlineLevel="1" thickBot="1" x14ac:dyDescent="0.5">
      <c r="B53" s="156" t="s">
        <v>66</v>
      </c>
      <c r="C53" s="156"/>
    </row>
    <row r="54" spans="2:15" ht="36" hidden="1" outlineLevel="1" thickTop="1" thickBot="1" x14ac:dyDescent="0.4">
      <c r="B54" s="17" t="s">
        <v>41</v>
      </c>
      <c r="C54" s="17" t="s">
        <v>42</v>
      </c>
      <c r="D54" s="17" t="s">
        <v>43</v>
      </c>
      <c r="E54" s="18" t="s">
        <v>67</v>
      </c>
      <c r="F54" s="17" t="s">
        <v>68</v>
      </c>
      <c r="G54" s="18" t="s">
        <v>69</v>
      </c>
      <c r="H54" s="17" t="s">
        <v>70</v>
      </c>
      <c r="I54" s="18" t="s">
        <v>72</v>
      </c>
      <c r="J54" s="2" t="s">
        <v>50</v>
      </c>
      <c r="K54" s="72" t="s">
        <v>73</v>
      </c>
      <c r="L54" s="21"/>
      <c r="M54" s="21"/>
      <c r="N54" s="21"/>
      <c r="O54" s="21"/>
    </row>
    <row r="55" spans="2:15" ht="15.5" hidden="1" outlineLevel="1" thickTop="1" thickBot="1" x14ac:dyDescent="0.4">
      <c r="B55" s="3" t="str">
        <f>B6</f>
        <v>TQQQ</v>
      </c>
      <c r="C55" s="3" t="str">
        <f>C6</f>
        <v>ProShares UltraPro QQQ</v>
      </c>
      <c r="D55" s="111">
        <f>$D$50*K6/E55</f>
        <v>69.728602733436389</v>
      </c>
      <c r="E55" s="77">
        <f>G6</f>
        <v>71.849998474121094</v>
      </c>
      <c r="F55" s="5">
        <f>D55*E55</f>
        <v>5010.0000000000009</v>
      </c>
      <c r="G55" s="5">
        <f>G6</f>
        <v>71.849998474121094</v>
      </c>
      <c r="H55" s="5">
        <f>D55*G55</f>
        <v>5010.0000000000009</v>
      </c>
      <c r="I55" s="6">
        <f>H55/$H$69</f>
        <v>0.33399999999999996</v>
      </c>
      <c r="J55" s="6">
        <f>K6</f>
        <v>0.33400000000000002</v>
      </c>
      <c r="K55" s="22">
        <f>I55-J55</f>
        <v>0</v>
      </c>
      <c r="L55" s="21"/>
      <c r="M55" s="21"/>
      <c r="N55" s="21"/>
      <c r="O55" s="21"/>
    </row>
    <row r="56" spans="2:15" ht="15.5" hidden="1" outlineLevel="1" thickTop="1" thickBot="1" x14ac:dyDescent="0.4">
      <c r="B56" s="3" t="str">
        <f t="shared" ref="B56:C56" si="22">B7</f>
        <v>SPXL</v>
      </c>
      <c r="C56" s="3" t="str">
        <f t="shared" si="22"/>
        <v>Direxion Daily S&amp;P 500 Bull 3X Shares</v>
      </c>
      <c r="D56" s="111">
        <f t="shared" ref="D56:D66" si="23">$D$50*K7/E56</f>
        <v>17.215825973030434</v>
      </c>
      <c r="E56" s="77">
        <f t="shared" ref="E56:E66" si="24">G7</f>
        <v>290.1400146484375</v>
      </c>
      <c r="F56" s="5">
        <f t="shared" ref="F56:F66" si="25">D56*E56</f>
        <v>4995.0000000000009</v>
      </c>
      <c r="G56" s="5">
        <f t="shared" ref="G56:G66" si="26">G7</f>
        <v>290.1400146484375</v>
      </c>
      <c r="H56" s="5">
        <f t="shared" ref="H56:H66" si="27">D56*G56</f>
        <v>4995.0000000000009</v>
      </c>
      <c r="I56" s="6">
        <f t="shared" ref="I56:I66" si="28">H56/$H$69</f>
        <v>0.33299999999999996</v>
      </c>
      <c r="J56" s="6">
        <f t="shared" ref="J56:J66" si="29">K7</f>
        <v>0.33300000000000007</v>
      </c>
      <c r="K56" s="22">
        <f t="shared" ref="K56:K66" si="30">I56-J56</f>
        <v>0</v>
      </c>
      <c r="L56" s="21"/>
      <c r="M56" s="21"/>
      <c r="N56" s="21"/>
      <c r="O56" s="21"/>
    </row>
    <row r="57" spans="2:15" ht="15.5" hidden="1" outlineLevel="1" thickTop="1" thickBot="1" x14ac:dyDescent="0.4">
      <c r="B57" s="3" t="str">
        <f t="shared" ref="B57:C57" si="31">B8</f>
        <v>UDOW</v>
      </c>
      <c r="C57" s="3" t="str">
        <f t="shared" si="31"/>
        <v>ProShares UltraPro Dow30</v>
      </c>
      <c r="D57" s="111">
        <f t="shared" si="23"/>
        <v>67.618787251650957</v>
      </c>
      <c r="E57" s="77">
        <f t="shared" si="24"/>
        <v>73.870002746582031</v>
      </c>
      <c r="F57" s="5">
        <f t="shared" si="25"/>
        <v>4995.0000000000018</v>
      </c>
      <c r="G57" s="5">
        <f t="shared" si="26"/>
        <v>73.870002746582031</v>
      </c>
      <c r="H57" s="5">
        <f t="shared" si="27"/>
        <v>4995.0000000000018</v>
      </c>
      <c r="I57" s="6">
        <f t="shared" si="28"/>
        <v>0.33300000000000002</v>
      </c>
      <c r="J57" s="6">
        <f t="shared" si="29"/>
        <v>0.33300000000000013</v>
      </c>
      <c r="K57" s="22">
        <f t="shared" si="30"/>
        <v>0</v>
      </c>
      <c r="L57" s="21"/>
      <c r="M57" s="21"/>
      <c r="N57" s="21"/>
      <c r="O57" s="21"/>
    </row>
    <row r="58" spans="2:15" ht="15.5" hidden="1" outlineLevel="1" thickTop="1" thickBot="1" x14ac:dyDescent="0.4">
      <c r="B58" s="3" t="str">
        <f t="shared" ref="B58:C58" si="32">B9</f>
        <v>QLD</v>
      </c>
      <c r="C58" s="3" t="str">
        <f t="shared" si="32"/>
        <v>ProShares Ultra QQQ</v>
      </c>
      <c r="D58" s="111">
        <f t="shared" si="23"/>
        <v>0</v>
      </c>
      <c r="E58" s="77">
        <f t="shared" si="24"/>
        <v>90.169998168945313</v>
      </c>
      <c r="F58" s="5">
        <f t="shared" si="25"/>
        <v>0</v>
      </c>
      <c r="G58" s="5">
        <f t="shared" si="26"/>
        <v>90.169998168945313</v>
      </c>
      <c r="H58" s="5">
        <f t="shared" si="27"/>
        <v>0</v>
      </c>
      <c r="I58" s="6">
        <f t="shared" si="28"/>
        <v>0</v>
      </c>
      <c r="J58" s="6">
        <f t="shared" si="29"/>
        <v>0</v>
      </c>
      <c r="K58" s="22">
        <f t="shared" si="30"/>
        <v>0</v>
      </c>
      <c r="L58" s="21"/>
      <c r="M58" s="21"/>
      <c r="N58" s="21"/>
      <c r="O58" s="21"/>
    </row>
    <row r="59" spans="2:15" ht="15.5" hidden="1" outlineLevel="1" thickTop="1" thickBot="1" x14ac:dyDescent="0.4">
      <c r="B59" s="3" t="str">
        <f t="shared" ref="B59:C59" si="33">B10</f>
        <v>SSO</v>
      </c>
      <c r="C59" s="3" t="str">
        <f t="shared" si="33"/>
        <v>ProShares Ultra S&amp;P500</v>
      </c>
      <c r="D59" s="111">
        <f t="shared" si="23"/>
        <v>0</v>
      </c>
      <c r="E59" s="77">
        <f t="shared" si="24"/>
        <v>70.739997863769531</v>
      </c>
      <c r="F59" s="5">
        <f t="shared" si="25"/>
        <v>0</v>
      </c>
      <c r="G59" s="5">
        <f t="shared" si="26"/>
        <v>70.739997863769531</v>
      </c>
      <c r="H59" s="5">
        <f t="shared" si="27"/>
        <v>0</v>
      </c>
      <c r="I59" s="6">
        <f t="shared" si="28"/>
        <v>0</v>
      </c>
      <c r="J59" s="6">
        <f t="shared" si="29"/>
        <v>0</v>
      </c>
      <c r="K59" s="22">
        <f t="shared" si="30"/>
        <v>0</v>
      </c>
      <c r="L59" s="21"/>
      <c r="M59" s="21"/>
      <c r="N59" s="21"/>
      <c r="O59" s="21"/>
    </row>
    <row r="60" spans="2:15" ht="15.5" hidden="1" outlineLevel="1" thickTop="1" thickBot="1" x14ac:dyDescent="0.4">
      <c r="B60" s="3" t="str">
        <f t="shared" ref="B60:C60" si="34">B11</f>
        <v>DDM</v>
      </c>
      <c r="C60" s="3" t="str">
        <f t="shared" si="34"/>
        <v>ProShares Ultra Dow30</v>
      </c>
      <c r="D60" s="111">
        <f t="shared" si="23"/>
        <v>0</v>
      </c>
      <c r="E60" s="77">
        <f t="shared" si="24"/>
        <v>68.080001831054688</v>
      </c>
      <c r="F60" s="5">
        <f t="shared" si="25"/>
        <v>0</v>
      </c>
      <c r="G60" s="5">
        <f t="shared" si="26"/>
        <v>68.080001831054688</v>
      </c>
      <c r="H60" s="5">
        <f t="shared" si="27"/>
        <v>0</v>
      </c>
      <c r="I60" s="6">
        <f t="shared" si="28"/>
        <v>0</v>
      </c>
      <c r="J60" s="6">
        <f t="shared" si="29"/>
        <v>0</v>
      </c>
      <c r="K60" s="22">
        <f t="shared" si="30"/>
        <v>0</v>
      </c>
      <c r="L60" s="21"/>
      <c r="M60" s="21"/>
      <c r="N60" s="21"/>
      <c r="O60" s="21"/>
    </row>
    <row r="61" spans="2:15" ht="15.5" hidden="1" outlineLevel="1" thickTop="1" thickBot="1" x14ac:dyDescent="0.4">
      <c r="B61" s="3" t="str">
        <f t="shared" ref="B61:C61" si="35">B12</f>
        <v>QQQ</v>
      </c>
      <c r="C61" s="3" t="str">
        <f t="shared" si="35"/>
        <v>Invesco QQQ Trust</v>
      </c>
      <c r="D61" s="111">
        <f t="shared" si="23"/>
        <v>0</v>
      </c>
      <c r="E61" s="77">
        <f t="shared" si="24"/>
        <v>716.42999267578125</v>
      </c>
      <c r="F61" s="5">
        <f t="shared" si="25"/>
        <v>0</v>
      </c>
      <c r="G61" s="5">
        <f t="shared" si="26"/>
        <v>716.42999267578125</v>
      </c>
      <c r="H61" s="5">
        <f t="shared" si="27"/>
        <v>0</v>
      </c>
      <c r="I61" s="6">
        <f t="shared" si="28"/>
        <v>0</v>
      </c>
      <c r="J61" s="6">
        <f t="shared" si="29"/>
        <v>0</v>
      </c>
      <c r="K61" s="22">
        <f t="shared" si="30"/>
        <v>0</v>
      </c>
      <c r="L61" s="21"/>
      <c r="M61" s="21"/>
      <c r="N61" s="21"/>
      <c r="O61" s="21"/>
    </row>
    <row r="62" spans="2:15" ht="15.5" hidden="1" outlineLevel="1" thickTop="1" thickBot="1" x14ac:dyDescent="0.4">
      <c r="B62" s="3" t="str">
        <f t="shared" ref="B62:C62" si="36">B13</f>
        <v>VOO</v>
      </c>
      <c r="C62" s="3" t="str">
        <f t="shared" si="36"/>
        <v>Vanguard S&amp;P 500 ETF</v>
      </c>
      <c r="D62" s="111">
        <f t="shared" si="23"/>
        <v>0</v>
      </c>
      <c r="E62" s="77">
        <f t="shared" si="24"/>
        <v>707.239990234375</v>
      </c>
      <c r="F62" s="5">
        <f t="shared" si="25"/>
        <v>0</v>
      </c>
      <c r="G62" s="5">
        <f t="shared" si="26"/>
        <v>707.239990234375</v>
      </c>
      <c r="H62" s="5">
        <f t="shared" si="27"/>
        <v>0</v>
      </c>
      <c r="I62" s="6">
        <f t="shared" si="28"/>
        <v>0</v>
      </c>
      <c r="J62" s="6">
        <f t="shared" si="29"/>
        <v>0</v>
      </c>
      <c r="K62" s="22">
        <f t="shared" si="30"/>
        <v>0</v>
      </c>
      <c r="L62" s="21"/>
      <c r="M62" s="21"/>
      <c r="N62" s="21"/>
      <c r="O62" s="21"/>
    </row>
    <row r="63" spans="2:15" ht="15.5" hidden="1" outlineLevel="1" thickTop="1" thickBot="1" x14ac:dyDescent="0.4">
      <c r="B63" s="3" t="str">
        <f t="shared" ref="B63:C63" si="37">B14</f>
        <v>DIA</v>
      </c>
      <c r="C63" s="3" t="str">
        <f t="shared" si="37"/>
        <v>SPDR Dow Jones Industrial Average ETF Trust</v>
      </c>
      <c r="D63" s="111">
        <f t="shared" si="23"/>
        <v>0</v>
      </c>
      <c r="E63" s="77">
        <f t="shared" si="24"/>
        <v>535.05999755859375</v>
      </c>
      <c r="F63" s="5">
        <f t="shared" si="25"/>
        <v>0</v>
      </c>
      <c r="G63" s="5">
        <f t="shared" si="26"/>
        <v>535.05999755859375</v>
      </c>
      <c r="H63" s="5">
        <f t="shared" si="27"/>
        <v>0</v>
      </c>
      <c r="I63" s="6">
        <f t="shared" si="28"/>
        <v>0</v>
      </c>
      <c r="J63" s="6">
        <f t="shared" si="29"/>
        <v>0</v>
      </c>
      <c r="K63" s="22">
        <f t="shared" si="30"/>
        <v>0</v>
      </c>
      <c r="L63" s="21"/>
      <c r="M63" s="21"/>
      <c r="N63" s="21"/>
      <c r="O63" s="21"/>
    </row>
    <row r="64" spans="2:15" ht="15.5" hidden="1" outlineLevel="1" thickTop="1" thickBot="1" x14ac:dyDescent="0.4">
      <c r="B64" s="3" t="str">
        <f t="shared" ref="B64:C64" si="38">B15</f>
        <v>PSQ</v>
      </c>
      <c r="C64" s="3" t="str">
        <f t="shared" si="38"/>
        <v>ProShares Short QQQ</v>
      </c>
      <c r="D64" s="111">
        <f t="shared" si="23"/>
        <v>0</v>
      </c>
      <c r="E64" s="77">
        <f t="shared" si="24"/>
        <v>25.819999694824219</v>
      </c>
      <c r="F64" s="5">
        <f t="shared" si="25"/>
        <v>0</v>
      </c>
      <c r="G64" s="5">
        <f t="shared" si="26"/>
        <v>25.819999694824219</v>
      </c>
      <c r="H64" s="5">
        <f t="shared" si="27"/>
        <v>0</v>
      </c>
      <c r="I64" s="6">
        <f t="shared" si="28"/>
        <v>0</v>
      </c>
      <c r="J64" s="6">
        <f t="shared" si="29"/>
        <v>0</v>
      </c>
      <c r="K64" s="22">
        <f t="shared" si="30"/>
        <v>0</v>
      </c>
      <c r="L64" s="21"/>
      <c r="M64" s="21"/>
      <c r="N64" s="21"/>
      <c r="O64" s="21"/>
    </row>
    <row r="65" spans="2:15" ht="15.5" hidden="1" outlineLevel="1" thickTop="1" thickBot="1" x14ac:dyDescent="0.4">
      <c r="B65" s="3" t="str">
        <f t="shared" ref="B65:C65" si="39">B16</f>
        <v>SH</v>
      </c>
      <c r="C65" s="3" t="str">
        <f t="shared" si="39"/>
        <v>ProShares Short S&amp;P500</v>
      </c>
      <c r="D65" s="111">
        <f t="shared" si="23"/>
        <v>0</v>
      </c>
      <c r="E65" s="77">
        <f t="shared" si="24"/>
        <v>32.330001831054688</v>
      </c>
      <c r="F65" s="5">
        <f t="shared" si="25"/>
        <v>0</v>
      </c>
      <c r="G65" s="5">
        <f t="shared" si="26"/>
        <v>32.330001831054688</v>
      </c>
      <c r="H65" s="5">
        <f t="shared" si="27"/>
        <v>0</v>
      </c>
      <c r="I65" s="6">
        <f t="shared" si="28"/>
        <v>0</v>
      </c>
      <c r="J65" s="6">
        <f t="shared" si="29"/>
        <v>0</v>
      </c>
      <c r="K65" s="22">
        <f t="shared" si="30"/>
        <v>0</v>
      </c>
      <c r="L65" s="21"/>
      <c r="M65" s="21"/>
      <c r="N65" s="21"/>
      <c r="O65" s="21"/>
    </row>
    <row r="66" spans="2:15" ht="15.5" hidden="1" outlineLevel="1" thickTop="1" thickBot="1" x14ac:dyDescent="0.4">
      <c r="B66" s="3" t="str">
        <f t="shared" ref="B66:C66" si="40">B17</f>
        <v>DOG</v>
      </c>
      <c r="C66" s="3" t="str">
        <f t="shared" si="40"/>
        <v>ProShares Short Dow30</v>
      </c>
      <c r="D66" s="111">
        <f t="shared" si="23"/>
        <v>0</v>
      </c>
      <c r="E66" s="77">
        <f t="shared" si="24"/>
        <v>21.290000915527344</v>
      </c>
      <c r="F66" s="5">
        <f t="shared" si="25"/>
        <v>0</v>
      </c>
      <c r="G66" s="5">
        <f t="shared" si="26"/>
        <v>21.290000915527344</v>
      </c>
      <c r="H66" s="5">
        <f t="shared" si="27"/>
        <v>0</v>
      </c>
      <c r="I66" s="6">
        <f t="shared" si="28"/>
        <v>0</v>
      </c>
      <c r="J66" s="6">
        <f t="shared" si="29"/>
        <v>0</v>
      </c>
      <c r="K66" s="22">
        <f t="shared" si="30"/>
        <v>0</v>
      </c>
      <c r="L66" s="21"/>
      <c r="M66" s="21"/>
      <c r="N66" s="21"/>
      <c r="O66" s="21"/>
    </row>
    <row r="67" spans="2:15" ht="15.5" hidden="1" outlineLevel="1" thickTop="1" thickBot="1" x14ac:dyDescent="0.4">
      <c r="B67" s="3" t="s">
        <v>59</v>
      </c>
      <c r="C67" s="3"/>
      <c r="D67" s="7">
        <f>D50-SUMPRODUCT(D55:D66,E55:E66)</f>
        <v>0</v>
      </c>
      <c r="E67" s="4"/>
      <c r="F67" s="5"/>
      <c r="G67" s="5"/>
      <c r="H67" s="5">
        <f>D67</f>
        <v>0</v>
      </c>
      <c r="I67" s="6">
        <f>H67/$H$69</f>
        <v>0</v>
      </c>
      <c r="J67" s="6">
        <f>K18</f>
        <v>-2.5268335065425445E-16</v>
      </c>
      <c r="K67" s="22">
        <f>I67-J67</f>
        <v>2.5268335065425445E-16</v>
      </c>
      <c r="L67" s="21"/>
      <c r="M67" s="21"/>
      <c r="N67" s="21"/>
      <c r="O67" s="21"/>
    </row>
    <row r="68" spans="2:15" ht="15.65" hidden="1" customHeight="1" outlineLevel="1" thickTop="1" thickBot="1" x14ac:dyDescent="0.4">
      <c r="K68" s="23"/>
      <c r="L68" s="21"/>
      <c r="M68" s="24"/>
      <c r="N68" s="21"/>
      <c r="O68" s="21"/>
    </row>
    <row r="69" spans="2:15" ht="15.65" hidden="1" customHeight="1" outlineLevel="1" thickBot="1" x14ac:dyDescent="0.4">
      <c r="B69" s="10" t="s">
        <v>60</v>
      </c>
      <c r="C69" s="10"/>
      <c r="D69" s="10"/>
      <c r="E69" s="10"/>
      <c r="F69" s="11"/>
      <c r="G69" s="11"/>
      <c r="H69" s="11">
        <f>SUM(H55:H67)</f>
        <v>15000.000000000004</v>
      </c>
      <c r="I69" s="12">
        <f>SUM(I55:I67)</f>
        <v>1</v>
      </c>
      <c r="J69" s="12">
        <f>SUM(J55:J67)</f>
        <v>1</v>
      </c>
      <c r="K69" s="13">
        <f t="array" ref="K69">SUM(ABS(K55:K67))</f>
        <v>2.5268335065425445E-16</v>
      </c>
      <c r="L69" s="25" t="str">
        <f>IF(K69&lt;0.1,"Excelente",IF(AND(K69&lt;=0.2,K69&gt;=0.1),"Buena",IF(AND(K69&lt;=0.35,K69&gt;0.2),"Regular","Mala")))</f>
        <v>Excelente</v>
      </c>
    </row>
    <row r="70" spans="2:15" ht="20.5" hidden="1" customHeight="1" outlineLevel="1" thickTop="1" thickBot="1" x14ac:dyDescent="0.4">
      <c r="K70" s="150" t="s">
        <v>74</v>
      </c>
      <c r="L70" s="151"/>
    </row>
    <row r="71" spans="2:15" collapsed="1" x14ac:dyDescent="0.35"/>
    <row r="72" spans="2:15" x14ac:dyDescent="0.35">
      <c r="F72" s="9"/>
    </row>
    <row r="73" spans="2:15" x14ac:dyDescent="0.35">
      <c r="F73" s="9"/>
    </row>
    <row r="74" spans="2:15" x14ac:dyDescent="0.35">
      <c r="F74" s="9"/>
    </row>
    <row r="75" spans="2:15" x14ac:dyDescent="0.35">
      <c r="F75" s="9"/>
    </row>
    <row r="76" spans="2:15" x14ac:dyDescent="0.35">
      <c r="F76" s="9"/>
    </row>
    <row r="77" spans="2:15" x14ac:dyDescent="0.35">
      <c r="F77" s="9"/>
    </row>
    <row r="78" spans="2:15" x14ac:dyDescent="0.35">
      <c r="F78" s="9"/>
    </row>
    <row r="79" spans="2:15" x14ac:dyDescent="0.35">
      <c r="F79" s="9"/>
    </row>
    <row r="80" spans="2:15" x14ac:dyDescent="0.35">
      <c r="F80" s="9"/>
    </row>
    <row r="81" spans="5:6" x14ac:dyDescent="0.35">
      <c r="E81" s="88"/>
      <c r="F81" s="19"/>
    </row>
  </sheetData>
  <sheetProtection algorithmName="SHA-512" hashValue="2W3zcViThCNGPT5OppAu+BGRJ14cKLplX4M44DuVVvL98/kIEGjd7KYt5Qo5u6hegYiWTzkkWVqZkMEHGlMZ9A==" saltValue="CFft1/bjT1atx2tGLqx0+A==" spinCount="100000" sheet="1" objects="1" scenarios="1" formatRows="0"/>
  <mergeCells count="16">
    <mergeCell ref="F2:G2"/>
    <mergeCell ref="B2:C2"/>
    <mergeCell ref="B53:C53"/>
    <mergeCell ref="B50:C50"/>
    <mergeCell ref="B49:C49"/>
    <mergeCell ref="B24:C24"/>
    <mergeCell ref="F3:G3"/>
    <mergeCell ref="F4:G4"/>
    <mergeCell ref="M46:N46"/>
    <mergeCell ref="B26:K27"/>
    <mergeCell ref="B51:K51"/>
    <mergeCell ref="B3:C3"/>
    <mergeCell ref="K70:L70"/>
    <mergeCell ref="B23:C23"/>
    <mergeCell ref="B29:C29"/>
    <mergeCell ref="B25:C25"/>
  </mergeCells>
  <conditionalFormatting sqref="E55:E66">
    <cfRule type="expression" dxfId="34" priority="27">
      <formula>#REF!="Último cierre"</formula>
    </cfRule>
  </conditionalFormatting>
  <conditionalFormatting sqref="D25 J6:J17">
    <cfRule type="cellIs" dxfId="33" priority="8" operator="lessThan">
      <formula>0</formula>
    </cfRule>
    <cfRule type="cellIs" dxfId="32" priority="9" operator="greaterThan">
      <formula>0</formula>
    </cfRule>
  </conditionalFormatting>
  <conditionalFormatting sqref="J20:J21">
    <cfRule type="cellIs" dxfId="31" priority="38" operator="lessThan">
      <formula>0</formula>
    </cfRule>
    <cfRule type="cellIs" dxfId="30" priority="39" operator="greaterThan">
      <formula>0</formula>
    </cfRule>
  </conditionalFormatting>
  <conditionalFormatting sqref="J45 J31:J42">
    <cfRule type="cellIs" dxfId="29" priority="6" operator="lessThan">
      <formula>0</formula>
    </cfRule>
    <cfRule type="cellIs" dxfId="28" priority="7" operator="greaterThan">
      <formula>0</formula>
    </cfRule>
  </conditionalFormatting>
  <conditionalFormatting sqref="K55:K68">
    <cfRule type="dataBar" priority="94">
      <dataBar>
        <cfvo type="min"/>
        <cfvo type="max"/>
        <color rgb="FF638EC6"/>
      </dataBar>
      <extLst>
        <ext xmlns:x14="http://schemas.microsoft.com/office/spreadsheetml/2009/9/main" uri="{B025F937-C7B1-47D3-B67F-A62EFF666E3E}">
          <x14:id>{DC2930AF-6D1F-44AA-8DAA-385425FF4B23}</x14:id>
        </ext>
      </extLst>
    </cfRule>
  </conditionalFormatting>
  <conditionalFormatting sqref="K69">
    <cfRule type="dataBar" priority="25">
      <dataBar>
        <cfvo type="num" val="0"/>
        <cfvo type="num" val="1"/>
        <color rgb="FFFF0000"/>
      </dataBar>
      <extLst>
        <ext xmlns:x14="http://schemas.microsoft.com/office/spreadsheetml/2009/9/main" uri="{B025F937-C7B1-47D3-B67F-A62EFF666E3E}">
          <x14:id>{F3D7CAD5-D2E3-45F6-945D-92CA00EA4F77}</x14:id>
        </ext>
      </extLst>
    </cfRule>
  </conditionalFormatting>
  <conditionalFormatting sqref="L69">
    <cfRule type="containsText" dxfId="27" priority="17" operator="containsText" text="Mala">
      <formula>NOT(ISERROR(SEARCH("Mala",L69)))</formula>
    </cfRule>
    <cfRule type="containsText" dxfId="26" priority="18" operator="containsText" text="Regular">
      <formula>NOT(ISERROR(SEARCH("Regular",L69)))</formula>
    </cfRule>
    <cfRule type="containsText" dxfId="25" priority="19" operator="containsText" text="Buena">
      <formula>NOT(ISERROR(SEARCH("Buena",L69)))</formula>
    </cfRule>
    <cfRule type="containsText" dxfId="24" priority="20" operator="containsText" text="Excelente">
      <formula>NOT(ISERROR(SEARCH("Excelente",L69)))</formula>
    </cfRule>
  </conditionalFormatting>
  <conditionalFormatting sqref="M31:M44">
    <cfRule type="dataBar" priority="93">
      <dataBar>
        <cfvo type="min"/>
        <cfvo type="max"/>
        <color rgb="FF638EC6"/>
      </dataBar>
      <extLst>
        <ext xmlns:x14="http://schemas.microsoft.com/office/spreadsheetml/2009/9/main" uri="{B025F937-C7B1-47D3-B67F-A62EFF666E3E}">
          <x14:id>{A6C38E43-9828-4B60-9E45-6183185C3C99}</x14:id>
        </ext>
      </extLst>
    </cfRule>
  </conditionalFormatting>
  <conditionalFormatting sqref="M45">
    <cfRule type="dataBar" priority="14">
      <dataBar>
        <cfvo type="num" val="0"/>
        <cfvo type="num" val="1"/>
        <color rgb="FFFF0000"/>
      </dataBar>
      <extLst>
        <ext xmlns:x14="http://schemas.microsoft.com/office/spreadsheetml/2009/9/main" uri="{B025F937-C7B1-47D3-B67F-A62EFF666E3E}">
          <x14:id>{1C947784-B163-4AC8-858D-C81BC4ECD788}</x14:id>
        </ext>
      </extLst>
    </cfRule>
  </conditionalFormatting>
  <conditionalFormatting sqref="N45">
    <cfRule type="containsText" dxfId="23" priority="10" operator="containsText" text="Mala">
      <formula>NOT(ISERROR(SEARCH("Mala",N45)))</formula>
    </cfRule>
    <cfRule type="containsText" dxfId="22" priority="11" operator="containsText" text="Regular">
      <formula>NOT(ISERROR(SEARCH("Regular",N45)))</formula>
    </cfRule>
    <cfRule type="containsText" dxfId="21" priority="12" operator="containsText" text="Buena">
      <formula>NOT(ISERROR(SEARCH("Buena",N45)))</formula>
    </cfRule>
    <cfRule type="containsText" dxfId="20" priority="13" operator="containsText" text="Excelente">
      <formula>NOT(ISERROR(SEARCH("Excelente",N45)))</formula>
    </cfRule>
  </conditionalFormatting>
  <conditionalFormatting sqref="I18">
    <cfRule type="cellIs" dxfId="19" priority="3" operator="lessThan">
      <formula>0</formula>
    </cfRule>
    <cfRule type="cellIs" dxfId="18" priority="4" operator="greaterThan">
      <formula>0</formula>
    </cfRule>
  </conditionalFormatting>
  <conditionalFormatting sqref="J46">
    <cfRule type="cellIs" dxfId="17" priority="1" operator="lessThan">
      <formula>0</formula>
    </cfRule>
    <cfRule type="cellIs" dxfId="16" priority="2" operator="greaterThan">
      <formula>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dataBar" id="{DC2930AF-6D1F-44AA-8DAA-385425FF4B23}">
            <x14:dataBar minLength="0" maxLength="100" border="1" negativeBarBorderColorSameAsPositive="0">
              <x14:cfvo type="autoMin"/>
              <x14:cfvo type="autoMax"/>
              <x14:borderColor rgb="FF638EC6"/>
              <x14:negativeFillColor rgb="FFFF0000"/>
              <x14:negativeBorderColor rgb="FFFF0000"/>
              <x14:axisColor rgb="FF000000"/>
            </x14:dataBar>
          </x14:cfRule>
          <xm:sqref>K55:K68</xm:sqref>
        </x14:conditionalFormatting>
        <x14:conditionalFormatting xmlns:xm="http://schemas.microsoft.com/office/excel/2006/main">
          <x14:cfRule type="dataBar" id="{F3D7CAD5-D2E3-45F6-945D-92CA00EA4F77}">
            <x14:dataBar minLength="0" maxLength="100" gradient="0" direction="rightToLeft">
              <x14:cfvo type="num">
                <xm:f>0</xm:f>
              </x14:cfvo>
              <x14:cfvo type="num">
                <xm:f>1</xm:f>
              </x14:cfvo>
              <x14:negativeFillColor rgb="FFFF0000"/>
              <x14:axisColor rgb="FF000000"/>
            </x14:dataBar>
          </x14:cfRule>
          <xm:sqref>K69</xm:sqref>
        </x14:conditionalFormatting>
        <x14:conditionalFormatting xmlns:xm="http://schemas.microsoft.com/office/excel/2006/main">
          <x14:cfRule type="dataBar" id="{A6C38E43-9828-4B60-9E45-6183185C3C99}">
            <x14:dataBar minLength="0" maxLength="100" border="1" negativeBarBorderColorSameAsPositive="0">
              <x14:cfvo type="autoMin"/>
              <x14:cfvo type="autoMax"/>
              <x14:borderColor rgb="FF638EC6"/>
              <x14:negativeFillColor rgb="FFFF0000"/>
              <x14:negativeBorderColor rgb="FFFF0000"/>
              <x14:axisColor rgb="FF000000"/>
            </x14:dataBar>
          </x14:cfRule>
          <xm:sqref>M31:M44</xm:sqref>
        </x14:conditionalFormatting>
        <x14:conditionalFormatting xmlns:xm="http://schemas.microsoft.com/office/excel/2006/main">
          <x14:cfRule type="dataBar" id="{1C947784-B163-4AC8-858D-C81BC4ECD788}">
            <x14:dataBar minLength="0" maxLength="100" gradient="0" direction="rightToLeft">
              <x14:cfvo type="num">
                <xm:f>0</xm:f>
              </x14:cfvo>
              <x14:cfvo type="num">
                <xm:f>1</xm:f>
              </x14:cfvo>
              <x14:negativeFillColor rgb="FFFF0000"/>
              <x14:axisColor rgb="FF000000"/>
            </x14:dataBar>
          </x14:cfRule>
          <xm:sqref>M45</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7AA3-7780-43B2-BFBA-7B5E299955F1}">
  <sheetPr codeName="Hoja4">
    <tabColor theme="2" tint="-9.9978637043366805E-2"/>
  </sheetPr>
  <dimension ref="B1:Q74"/>
  <sheetViews>
    <sheetView showGridLines="0" zoomScale="80" zoomScaleNormal="80" workbookViewId="0">
      <selection activeCell="F1" sqref="F1"/>
    </sheetView>
  </sheetViews>
  <sheetFormatPr baseColWidth="10" defaultColWidth="11.453125" defaultRowHeight="14.5" outlineLevelRow="1" x14ac:dyDescent="0.35"/>
  <cols>
    <col min="1" max="1" width="3.1796875" customWidth="1"/>
    <col min="2" max="2" width="11.7265625" customWidth="1"/>
    <col min="3" max="3" width="34.54296875" customWidth="1"/>
    <col min="6" max="6" width="12.7265625" customWidth="1"/>
    <col min="7" max="7" width="11.26953125" customWidth="1"/>
    <col min="8" max="8" width="11.54296875" customWidth="1"/>
    <col min="9" max="10" width="12.54296875" customWidth="1"/>
    <col min="18" max="18" width="10.81640625" customWidth="1"/>
  </cols>
  <sheetData>
    <row r="1" spans="2:17" ht="9.65" customHeight="1" thickBot="1" x14ac:dyDescent="0.4"/>
    <row r="2" spans="2:17" ht="16" thickTop="1" thickBot="1" x14ac:dyDescent="0.45">
      <c r="B2" s="159" t="s">
        <v>13</v>
      </c>
      <c r="C2" s="159"/>
      <c r="D2" s="76">
        <v>46262</v>
      </c>
      <c r="F2" s="158" t="s">
        <v>37</v>
      </c>
      <c r="G2" s="158"/>
      <c r="H2" s="127">
        <v>0.33400000000000002</v>
      </c>
      <c r="J2" s="108"/>
    </row>
    <row r="3" spans="2:17" ht="16" thickTop="1" thickBot="1" x14ac:dyDescent="0.45">
      <c r="B3" s="154" t="s">
        <v>38</v>
      </c>
      <c r="C3" s="154"/>
      <c r="D3" s="65">
        <v>3000</v>
      </c>
      <c r="F3" s="158" t="s">
        <v>39</v>
      </c>
      <c r="G3" s="158"/>
      <c r="H3" s="127">
        <v>0.33300000000000002</v>
      </c>
      <c r="J3" s="108"/>
    </row>
    <row r="4" spans="2:17" ht="16" thickTop="1" thickBot="1" x14ac:dyDescent="0.45">
      <c r="B4" s="55"/>
      <c r="C4" s="55"/>
      <c r="F4" s="158" t="s">
        <v>40</v>
      </c>
      <c r="G4" s="158"/>
      <c r="H4" s="128">
        <v>0.33300000000000002</v>
      </c>
    </row>
    <row r="5" spans="2:17" ht="16.5" thickBot="1" x14ac:dyDescent="0.5">
      <c r="B5" s="30"/>
      <c r="C5" s="21"/>
      <c r="D5" s="164" t="s">
        <v>78</v>
      </c>
      <c r="E5" s="165"/>
      <c r="F5" s="165"/>
      <c r="G5" s="165"/>
      <c r="H5" s="165"/>
      <c r="I5" s="165"/>
      <c r="J5" s="166"/>
      <c r="K5" s="160" t="s">
        <v>79</v>
      </c>
      <c r="L5" s="161"/>
      <c r="M5" s="161"/>
      <c r="N5" s="162"/>
      <c r="O5" s="21"/>
    </row>
    <row r="6" spans="2:17" ht="47.5" thickTop="1" thickBot="1" x14ac:dyDescent="0.4">
      <c r="B6" s="1" t="s">
        <v>41</v>
      </c>
      <c r="C6" s="31" t="s">
        <v>42</v>
      </c>
      <c r="D6" s="32" t="s">
        <v>43</v>
      </c>
      <c r="E6" s="61" t="s">
        <v>44</v>
      </c>
      <c r="F6" s="63" t="s">
        <v>80</v>
      </c>
      <c r="G6" s="33" t="s">
        <v>50</v>
      </c>
      <c r="H6" s="63" t="s">
        <v>81</v>
      </c>
      <c r="I6" s="33" t="s">
        <v>82</v>
      </c>
      <c r="J6" s="33" t="s">
        <v>83</v>
      </c>
      <c r="K6" s="62" t="s">
        <v>43</v>
      </c>
      <c r="L6" s="62" t="s">
        <v>67</v>
      </c>
      <c r="M6" s="34" t="s">
        <v>70</v>
      </c>
      <c r="N6" s="35" t="s">
        <v>50</v>
      </c>
      <c r="O6" s="36" t="s">
        <v>84</v>
      </c>
    </row>
    <row r="7" spans="2:17" ht="15.5" thickTop="1" thickBot="1" x14ac:dyDescent="0.4">
      <c r="B7" s="123" t="s">
        <v>85</v>
      </c>
      <c r="C7" s="124" t="s">
        <v>86</v>
      </c>
      <c r="D7" s="110">
        <v>0</v>
      </c>
      <c r="E7" s="64">
        <v>0</v>
      </c>
      <c r="F7" s="5">
        <v>64.620002746582031</v>
      </c>
      <c r="G7" s="6">
        <f>D7*F7/$F$21</f>
        <v>0</v>
      </c>
      <c r="H7" s="5">
        <v>71.849998474121094</v>
      </c>
      <c r="I7" s="5">
        <v>0</v>
      </c>
      <c r="J7" s="57" t="e">
        <f>(H7+I7/D7)/F7-1</f>
        <v>#DIV/0!</v>
      </c>
      <c r="K7" s="42">
        <f>D7+F24</f>
        <v>66.927290179730662</v>
      </c>
      <c r="L7" s="64">
        <f>IF(K7&gt;0,IF(K7&gt;D7,(D7*E7+(K7-D7)*G24)/K7,E7),0)</f>
        <v>71.849998474121094</v>
      </c>
      <c r="M7" s="4">
        <f>K7*H7</f>
        <v>4808.725697290708</v>
      </c>
      <c r="N7" s="38">
        <f>M7/$M$21</f>
        <v>0.33400000000000002</v>
      </c>
      <c r="O7" s="39">
        <f>N7-G7</f>
        <v>0.33400000000000002</v>
      </c>
      <c r="Q7" s="8"/>
    </row>
    <row r="8" spans="2:17" ht="15.5" thickTop="1" thickBot="1" x14ac:dyDescent="0.4">
      <c r="B8" s="123" t="s">
        <v>87</v>
      </c>
      <c r="C8" s="124" t="s">
        <v>88</v>
      </c>
      <c r="D8" s="110">
        <v>0</v>
      </c>
      <c r="E8" s="64">
        <v>0</v>
      </c>
      <c r="F8" s="5">
        <v>268.20001220703125</v>
      </c>
      <c r="G8" s="6">
        <f t="shared" ref="G8:G18" si="0">D8*F8/$F$21</f>
        <v>0</v>
      </c>
      <c r="H8" s="5">
        <v>290.1400146484375</v>
      </c>
      <c r="I8" s="5">
        <v>0</v>
      </c>
      <c r="J8" s="57" t="e">
        <f t="shared" ref="J8:J19" si="1">(H8+I8/D8)/F8-1</f>
        <v>#DIV/0!</v>
      </c>
      <c r="K8" s="42">
        <f t="shared" ref="K8:K18" si="2">D8+F25</f>
        <v>16.524188574170907</v>
      </c>
      <c r="L8" s="64">
        <f t="shared" ref="L8:L18" si="3">IF(K8&gt;0,IF(K8&gt;D8,(D8*E8+(K8-D8)*G25)/K8,E8),0)</f>
        <v>290.1400146484375</v>
      </c>
      <c r="M8" s="4">
        <f t="shared" ref="M8:M18" si="4">K8*H8</f>
        <v>4794.3283149634908</v>
      </c>
      <c r="N8" s="38">
        <f t="shared" ref="N8:N19" si="5">M8/$M$21</f>
        <v>0.33300000000000007</v>
      </c>
      <c r="O8" s="39">
        <f t="shared" ref="O8:O19" si="6">N8-G8</f>
        <v>0.33300000000000007</v>
      </c>
      <c r="Q8" s="8"/>
    </row>
    <row r="9" spans="2:17" ht="15.5" thickTop="1" thickBot="1" x14ac:dyDescent="0.4">
      <c r="B9" s="123" t="s">
        <v>89</v>
      </c>
      <c r="C9" s="124" t="s">
        <v>90</v>
      </c>
      <c r="D9" s="110">
        <v>0</v>
      </c>
      <c r="E9" s="64">
        <v>0</v>
      </c>
      <c r="F9" s="5">
        <v>70.099998474121094</v>
      </c>
      <c r="G9" s="6">
        <f t="shared" si="0"/>
        <v>0</v>
      </c>
      <c r="H9" s="5">
        <v>73.870002746582031</v>
      </c>
      <c r="I9" s="5">
        <v>0</v>
      </c>
      <c r="J9" s="57" t="e">
        <f t="shared" si="1"/>
        <v>#DIV/0!</v>
      </c>
      <c r="K9" s="42">
        <f t="shared" si="2"/>
        <v>64.902235504320799</v>
      </c>
      <c r="L9" s="64">
        <f t="shared" si="3"/>
        <v>73.870002746582031</v>
      </c>
      <c r="M9" s="4">
        <f t="shared" si="4"/>
        <v>4794.3283149634917</v>
      </c>
      <c r="N9" s="38">
        <f t="shared" si="5"/>
        <v>0.33300000000000013</v>
      </c>
      <c r="O9" s="39">
        <f t="shared" si="6"/>
        <v>0.33300000000000013</v>
      </c>
      <c r="Q9" s="8"/>
    </row>
    <row r="10" spans="2:17" ht="15.5" thickTop="1" thickBot="1" x14ac:dyDescent="0.4">
      <c r="B10" s="121" t="s">
        <v>91</v>
      </c>
      <c r="C10" s="122" t="s">
        <v>92</v>
      </c>
      <c r="D10" s="110">
        <v>54.380384949234553</v>
      </c>
      <c r="E10" s="64">
        <v>88.783418553193101</v>
      </c>
      <c r="F10" s="5">
        <v>83.669998168945313</v>
      </c>
      <c r="G10" s="6">
        <f t="shared" si="0"/>
        <v>0.33400000000000002</v>
      </c>
      <c r="H10" s="5">
        <v>90.169998168945313</v>
      </c>
      <c r="I10" s="5">
        <v>0</v>
      </c>
      <c r="J10" s="57">
        <f t="shared" si="1"/>
        <v>7.7686149662335335E-2</v>
      </c>
      <c r="K10" s="42">
        <f>D10+F27</f>
        <v>0</v>
      </c>
      <c r="L10" s="64">
        <f t="shared" si="3"/>
        <v>0</v>
      </c>
      <c r="M10" s="4">
        <f t="shared" si="4"/>
        <v>0</v>
      </c>
      <c r="N10" s="38">
        <f t="shared" si="5"/>
        <v>0</v>
      </c>
      <c r="O10" s="39">
        <f t="shared" si="6"/>
        <v>-0.33400000000000002</v>
      </c>
      <c r="Q10" s="8"/>
    </row>
    <row r="11" spans="2:17" ht="15.5" thickTop="1" thickBot="1" x14ac:dyDescent="0.4">
      <c r="B11" s="121" t="s">
        <v>93</v>
      </c>
      <c r="C11" s="122" t="s">
        <v>94</v>
      </c>
      <c r="D11" s="110">
        <v>67.717332127341308</v>
      </c>
      <c r="E11" s="64">
        <v>64.419998168945313</v>
      </c>
      <c r="F11" s="5">
        <v>66.989997863769531</v>
      </c>
      <c r="G11" s="6">
        <f t="shared" si="0"/>
        <v>0.33300000000000002</v>
      </c>
      <c r="H11" s="5">
        <v>70.739997863769531</v>
      </c>
      <c r="I11" s="5">
        <v>0</v>
      </c>
      <c r="J11" s="57">
        <f>(H11+I11/D11)/F11-1</f>
        <v>5.5978506039453535E-2</v>
      </c>
      <c r="K11" s="42">
        <f t="shared" si="2"/>
        <v>0</v>
      </c>
      <c r="L11" s="64">
        <f t="shared" si="3"/>
        <v>0</v>
      </c>
      <c r="M11" s="4">
        <f t="shared" si="4"/>
        <v>0</v>
      </c>
      <c r="N11" s="38">
        <f t="shared" si="5"/>
        <v>0</v>
      </c>
      <c r="O11" s="39">
        <f t="shared" si="6"/>
        <v>-0.33300000000000002</v>
      </c>
      <c r="Q11" s="8"/>
    </row>
    <row r="12" spans="2:17" ht="15.5" thickTop="1" thickBot="1" x14ac:dyDescent="0.4">
      <c r="B12" s="121" t="s">
        <v>95</v>
      </c>
      <c r="C12" s="122" t="s">
        <v>96</v>
      </c>
      <c r="D12" s="110">
        <v>69.088999109645059</v>
      </c>
      <c r="E12" s="64">
        <v>64.160003662109375</v>
      </c>
      <c r="F12" s="5">
        <v>65.660003662109375</v>
      </c>
      <c r="G12" s="6">
        <f t="shared" si="0"/>
        <v>0.33300000000000002</v>
      </c>
      <c r="H12" s="5">
        <v>68.080001831054688</v>
      </c>
      <c r="I12" s="5">
        <v>0</v>
      </c>
      <c r="J12" s="57">
        <f t="shared" si="1"/>
        <v>3.6856503715698485E-2</v>
      </c>
      <c r="K12" s="42">
        <f t="shared" si="2"/>
        <v>0</v>
      </c>
      <c r="L12" s="64">
        <f t="shared" si="3"/>
        <v>0</v>
      </c>
      <c r="M12" s="4">
        <f t="shared" si="4"/>
        <v>0</v>
      </c>
      <c r="N12" s="38">
        <f t="shared" si="5"/>
        <v>0</v>
      </c>
      <c r="O12" s="39">
        <f t="shared" si="6"/>
        <v>-0.33300000000000002</v>
      </c>
      <c r="Q12" s="8"/>
    </row>
    <row r="13" spans="2:17" ht="15.5" thickTop="1" thickBot="1" x14ac:dyDescent="0.4">
      <c r="B13" s="3" t="s">
        <v>97</v>
      </c>
      <c r="C13" s="37" t="s">
        <v>98</v>
      </c>
      <c r="D13" s="110">
        <v>0</v>
      </c>
      <c r="E13" s="64">
        <v>0</v>
      </c>
      <c r="F13" s="5">
        <v>687.989990234375</v>
      </c>
      <c r="G13" s="6">
        <f t="shared" si="0"/>
        <v>0</v>
      </c>
      <c r="H13" s="5">
        <v>716.42999267578125</v>
      </c>
      <c r="I13" s="5">
        <v>0</v>
      </c>
      <c r="J13" s="57" t="e">
        <f t="shared" si="1"/>
        <v>#DIV/0!</v>
      </c>
      <c r="K13" s="42">
        <f t="shared" si="2"/>
        <v>0</v>
      </c>
      <c r="L13" s="64">
        <f t="shared" si="3"/>
        <v>0</v>
      </c>
      <c r="M13" s="4">
        <f t="shared" si="4"/>
        <v>0</v>
      </c>
      <c r="N13" s="38">
        <f t="shared" si="5"/>
        <v>0</v>
      </c>
      <c r="O13" s="39">
        <f t="shared" si="6"/>
        <v>0</v>
      </c>
      <c r="Q13" s="8"/>
    </row>
    <row r="14" spans="2:17" ht="15.5" thickTop="1" thickBot="1" x14ac:dyDescent="0.4">
      <c r="B14" s="3" t="s">
        <v>99</v>
      </c>
      <c r="C14" s="37" t="s">
        <v>100</v>
      </c>
      <c r="D14" s="110">
        <v>0</v>
      </c>
      <c r="E14" s="64">
        <v>0</v>
      </c>
      <c r="F14" s="5">
        <v>686.6500244140625</v>
      </c>
      <c r="G14" s="6">
        <f t="shared" si="0"/>
        <v>0</v>
      </c>
      <c r="H14" s="5">
        <v>707.239990234375</v>
      </c>
      <c r="I14" s="5">
        <v>0</v>
      </c>
      <c r="J14" s="57" t="e">
        <f t="shared" si="1"/>
        <v>#DIV/0!</v>
      </c>
      <c r="K14" s="42">
        <f t="shared" si="2"/>
        <v>0</v>
      </c>
      <c r="L14" s="64">
        <f t="shared" si="3"/>
        <v>0</v>
      </c>
      <c r="M14" s="4">
        <f t="shared" si="4"/>
        <v>0</v>
      </c>
      <c r="N14" s="38">
        <f t="shared" si="5"/>
        <v>0</v>
      </c>
      <c r="O14" s="39">
        <f t="shared" si="6"/>
        <v>0</v>
      </c>
      <c r="Q14" s="8"/>
    </row>
    <row r="15" spans="2:17" ht="15.5" thickTop="1" thickBot="1" x14ac:dyDescent="0.4">
      <c r="B15" s="3" t="s">
        <v>101</v>
      </c>
      <c r="C15" s="37" t="s">
        <v>102</v>
      </c>
      <c r="D15" s="110">
        <v>0</v>
      </c>
      <c r="E15" s="64">
        <v>0</v>
      </c>
      <c r="F15" s="5">
        <v>524.32000732421875</v>
      </c>
      <c r="G15" s="6">
        <f t="shared" si="0"/>
        <v>0</v>
      </c>
      <c r="H15" s="5">
        <v>535.05999755859375</v>
      </c>
      <c r="I15" s="5">
        <v>0</v>
      </c>
      <c r="J15" s="57" t="e">
        <f t="shared" si="1"/>
        <v>#DIV/0!</v>
      </c>
      <c r="K15" s="42">
        <f t="shared" si="2"/>
        <v>0</v>
      </c>
      <c r="L15" s="64">
        <f t="shared" si="3"/>
        <v>0</v>
      </c>
      <c r="M15" s="4">
        <f t="shared" si="4"/>
        <v>0</v>
      </c>
      <c r="N15" s="38">
        <f t="shared" si="5"/>
        <v>0</v>
      </c>
      <c r="O15" s="39">
        <f t="shared" si="6"/>
        <v>0</v>
      </c>
      <c r="Q15" s="8"/>
    </row>
    <row r="16" spans="2:17" ht="15.5" thickTop="1" thickBot="1" x14ac:dyDescent="0.4">
      <c r="B16" s="125" t="s">
        <v>103</v>
      </c>
      <c r="C16" s="126" t="s">
        <v>104</v>
      </c>
      <c r="D16" s="110">
        <v>0</v>
      </c>
      <c r="E16" s="64">
        <v>0</v>
      </c>
      <c r="F16" s="5">
        <v>26.829999923706055</v>
      </c>
      <c r="G16" s="6">
        <f t="shared" si="0"/>
        <v>0</v>
      </c>
      <c r="H16" s="5">
        <v>25.819999694824219</v>
      </c>
      <c r="I16" s="5">
        <v>0</v>
      </c>
      <c r="J16" s="57" t="e">
        <f t="shared" si="1"/>
        <v>#DIV/0!</v>
      </c>
      <c r="K16" s="42">
        <f t="shared" si="2"/>
        <v>0</v>
      </c>
      <c r="L16" s="64">
        <f t="shared" si="3"/>
        <v>0</v>
      </c>
      <c r="M16" s="4">
        <f t="shared" si="4"/>
        <v>0</v>
      </c>
      <c r="N16" s="38">
        <f t="shared" si="5"/>
        <v>0</v>
      </c>
      <c r="O16" s="39">
        <f t="shared" si="6"/>
        <v>0</v>
      </c>
      <c r="Q16" s="8"/>
    </row>
    <row r="17" spans="2:17" ht="15.5" thickTop="1" thickBot="1" x14ac:dyDescent="0.4">
      <c r="B17" s="125" t="s">
        <v>105</v>
      </c>
      <c r="C17" s="126" t="s">
        <v>106</v>
      </c>
      <c r="D17" s="110">
        <v>0</v>
      </c>
      <c r="E17" s="64">
        <v>0</v>
      </c>
      <c r="F17" s="5">
        <v>33.159999847412109</v>
      </c>
      <c r="G17" s="6">
        <f t="shared" si="0"/>
        <v>0</v>
      </c>
      <c r="H17" s="5">
        <v>32.330001831054688</v>
      </c>
      <c r="I17" s="5">
        <v>0</v>
      </c>
      <c r="J17" s="57" t="e">
        <f t="shared" si="1"/>
        <v>#DIV/0!</v>
      </c>
      <c r="K17" s="42">
        <f t="shared" si="2"/>
        <v>0</v>
      </c>
      <c r="L17" s="64">
        <f t="shared" si="3"/>
        <v>0</v>
      </c>
      <c r="M17" s="4">
        <f t="shared" si="4"/>
        <v>0</v>
      </c>
      <c r="N17" s="38">
        <f t="shared" si="5"/>
        <v>0</v>
      </c>
      <c r="O17" s="39">
        <f t="shared" si="6"/>
        <v>0</v>
      </c>
      <c r="Q17" s="8"/>
    </row>
    <row r="18" spans="2:17" ht="15.5" thickTop="1" thickBot="1" x14ac:dyDescent="0.4">
      <c r="B18" s="125" t="s">
        <v>107</v>
      </c>
      <c r="C18" s="126" t="s">
        <v>108</v>
      </c>
      <c r="D18" s="110">
        <v>0</v>
      </c>
      <c r="E18" s="64">
        <v>0</v>
      </c>
      <c r="F18" s="5">
        <v>21.649999618530273</v>
      </c>
      <c r="G18" s="6">
        <f t="shared" si="0"/>
        <v>0</v>
      </c>
      <c r="H18" s="5">
        <v>21.290000915527344</v>
      </c>
      <c r="I18" s="5">
        <v>0</v>
      </c>
      <c r="J18" s="57" t="e">
        <f t="shared" si="1"/>
        <v>#DIV/0!</v>
      </c>
      <c r="K18" s="42">
        <f t="shared" si="2"/>
        <v>0</v>
      </c>
      <c r="L18" s="64">
        <f t="shared" si="3"/>
        <v>0</v>
      </c>
      <c r="M18" s="4">
        <f t="shared" si="4"/>
        <v>0</v>
      </c>
      <c r="N18" s="38">
        <f t="shared" si="5"/>
        <v>0</v>
      </c>
      <c r="O18" s="39">
        <f t="shared" si="6"/>
        <v>0</v>
      </c>
      <c r="Q18" s="8"/>
    </row>
    <row r="19" spans="2:17" ht="15.5" thickTop="1" thickBot="1" x14ac:dyDescent="0.4">
      <c r="B19" s="3" t="s">
        <v>59</v>
      </c>
      <c r="C19" s="37"/>
      <c r="D19" s="40">
        <v>0</v>
      </c>
      <c r="E19" s="60">
        <v>0</v>
      </c>
      <c r="F19" s="41">
        <f>D19</f>
        <v>0</v>
      </c>
      <c r="G19" s="59">
        <f>D19/$F$21</f>
        <v>0</v>
      </c>
      <c r="H19" s="41">
        <f>F19</f>
        <v>0</v>
      </c>
      <c r="I19" s="58"/>
      <c r="J19" s="130" t="e">
        <f t="shared" si="1"/>
        <v>#DIV/0!</v>
      </c>
      <c r="K19" s="42">
        <f>H19+I21-SUMPRODUCT(F24:F35,G24:G35)</f>
        <v>-3.637978807091713E-12</v>
      </c>
      <c r="L19" s="129"/>
      <c r="M19" s="43">
        <f>K19</f>
        <v>-3.637978807091713E-12</v>
      </c>
      <c r="N19" s="44">
        <f t="shared" si="5"/>
        <v>-2.5268335065425445E-16</v>
      </c>
      <c r="O19" s="39">
        <f t="shared" si="6"/>
        <v>-2.5268335065425445E-16</v>
      </c>
    </row>
    <row r="20" spans="2:17" ht="15.5" thickTop="1" thickBot="1" x14ac:dyDescent="0.4">
      <c r="B20" s="21"/>
      <c r="C20" s="21"/>
      <c r="D20" s="45"/>
      <c r="E20" s="45"/>
      <c r="F20" s="46"/>
      <c r="G20" s="46"/>
      <c r="H20" s="47"/>
      <c r="I20" s="47"/>
      <c r="J20" s="47"/>
      <c r="K20" s="45"/>
      <c r="L20" s="45"/>
      <c r="M20" s="46"/>
      <c r="N20" s="47"/>
      <c r="O20" s="23"/>
    </row>
    <row r="21" spans="2:17" ht="15.5" thickTop="1" thickBot="1" x14ac:dyDescent="0.4">
      <c r="B21" s="10" t="s">
        <v>60</v>
      </c>
      <c r="C21" s="10"/>
      <c r="D21" s="10"/>
      <c r="E21" s="49"/>
      <c r="F21" s="11">
        <f>SUMPRODUCT(D7:D18,F7:F18)+D19</f>
        <v>13622.774578230528</v>
      </c>
      <c r="G21" s="12">
        <f>SUM(G7:G19)</f>
        <v>1</v>
      </c>
      <c r="H21" s="49">
        <f>SUMPRODUCT(D7:D18,H7:H18)+H19</f>
        <v>14397.382327217689</v>
      </c>
      <c r="I21" s="49">
        <f>SUM(I7:I19)</f>
        <v>0</v>
      </c>
      <c r="J21" s="14">
        <f>(H21+I21)/F21-1</f>
        <v>5.6861232235685621E-2</v>
      </c>
      <c r="K21" s="104" t="s">
        <v>61</v>
      </c>
      <c r="L21" s="48"/>
      <c r="M21" s="49">
        <f>SUM(M7:M19)</f>
        <v>14397.382327217687</v>
      </c>
      <c r="N21" s="48">
        <f>SUM(N7:N19)</f>
        <v>1</v>
      </c>
      <c r="O21" s="48">
        <f>SUMIF(O7:O18,"&gt;0",O7:O18)</f>
        <v>1.0000000000000002</v>
      </c>
    </row>
    <row r="22" spans="2:17" ht="15.5" thickTop="1" thickBot="1" x14ac:dyDescent="0.4">
      <c r="B22" s="50"/>
      <c r="C22" s="50"/>
      <c r="D22" s="50"/>
      <c r="E22" s="50"/>
      <c r="F22" s="51"/>
      <c r="G22" s="51"/>
      <c r="H22" s="52"/>
      <c r="I22" s="103"/>
      <c r="J22" s="14">
        <f>LN((H21+I21)/F21)</f>
        <v>5.5303413724294412E-2</v>
      </c>
      <c r="K22" s="23" t="s">
        <v>62</v>
      </c>
      <c r="L22" s="52"/>
      <c r="M22" s="53"/>
      <c r="N22" s="52"/>
      <c r="O22" s="21"/>
    </row>
    <row r="23" spans="2:17" ht="15.5" thickTop="1" thickBot="1" x14ac:dyDescent="0.4">
      <c r="B23" s="54" t="str">
        <f>CONCATENATE("Movimientos ",TEXT(D2,"dd-mm-yyyy"),"  (precios MXN cierre):")</f>
        <v>Movimientos 28-08-2026  (precios MXN cierre):</v>
      </c>
      <c r="C23" s="21"/>
      <c r="D23" s="116"/>
      <c r="E23" s="21"/>
      <c r="F23" s="66" t="s">
        <v>109</v>
      </c>
      <c r="G23" s="66" t="s">
        <v>110</v>
      </c>
      <c r="H23" s="21"/>
      <c r="I23" s="21"/>
      <c r="J23" s="21"/>
      <c r="K23" s="21"/>
      <c r="L23" s="21"/>
      <c r="M23" s="21"/>
      <c r="N23" s="21"/>
      <c r="O23" s="21"/>
    </row>
    <row r="24" spans="2:17" ht="15.5" thickTop="1" thickBot="1" x14ac:dyDescent="0.4">
      <c r="B24" s="3" t="s">
        <v>85</v>
      </c>
      <c r="C24" s="3" t="s">
        <v>86</v>
      </c>
      <c r="D24" s="116"/>
      <c r="E24" s="21"/>
      <c r="F24" s="7">
        <v>66.927290179730662</v>
      </c>
      <c r="G24" s="5">
        <f>H7</f>
        <v>71.849998474121094</v>
      </c>
      <c r="H24" s="21"/>
      <c r="I24" s="21"/>
      <c r="J24" s="21"/>
      <c r="K24" s="21"/>
      <c r="L24" s="21"/>
      <c r="M24" s="21"/>
      <c r="N24" s="21"/>
      <c r="O24" s="21"/>
    </row>
    <row r="25" spans="2:17" ht="15.5" thickTop="1" thickBot="1" x14ac:dyDescent="0.4">
      <c r="B25" s="3" t="s">
        <v>87</v>
      </c>
      <c r="C25" s="3" t="s">
        <v>88</v>
      </c>
      <c r="D25" s="116"/>
      <c r="E25" s="21"/>
      <c r="F25" s="7">
        <v>16.524188574170907</v>
      </c>
      <c r="G25" s="5">
        <f t="shared" ref="G25:G35" si="7">H8</f>
        <v>290.1400146484375</v>
      </c>
      <c r="H25" s="21"/>
      <c r="I25" s="21"/>
      <c r="J25" s="21"/>
      <c r="K25" s="21"/>
      <c r="L25" s="21"/>
      <c r="M25" s="21"/>
      <c r="N25" s="21"/>
      <c r="O25" s="21"/>
    </row>
    <row r="26" spans="2:17" ht="15.5" thickTop="1" thickBot="1" x14ac:dyDescent="0.4">
      <c r="B26" s="3" t="s">
        <v>89</v>
      </c>
      <c r="C26" s="3" t="s">
        <v>90</v>
      </c>
      <c r="F26" s="7">
        <v>64.902235504320799</v>
      </c>
      <c r="G26" s="5">
        <f t="shared" si="7"/>
        <v>73.870002746582031</v>
      </c>
    </row>
    <row r="27" spans="2:17" ht="15.5" thickTop="1" thickBot="1" x14ac:dyDescent="0.4">
      <c r="B27" s="3" t="s">
        <v>91</v>
      </c>
      <c r="C27" s="3" t="s">
        <v>92</v>
      </c>
      <c r="D27" s="116"/>
      <c r="E27" s="21"/>
      <c r="F27" s="7">
        <v>-54.380384949234553</v>
      </c>
      <c r="G27" s="5">
        <f t="shared" si="7"/>
        <v>90.169998168945313</v>
      </c>
      <c r="H27" s="21"/>
      <c r="I27" s="21"/>
      <c r="J27" s="21"/>
      <c r="K27" s="21"/>
      <c r="L27" s="21"/>
      <c r="M27" s="21"/>
      <c r="N27" s="21"/>
      <c r="O27" s="21"/>
    </row>
    <row r="28" spans="2:17" ht="15.5" thickTop="1" thickBot="1" x14ac:dyDescent="0.4">
      <c r="B28" s="3" t="s">
        <v>93</v>
      </c>
      <c r="C28" s="3" t="s">
        <v>94</v>
      </c>
      <c r="D28" s="116"/>
      <c r="E28" s="21"/>
      <c r="F28" s="7">
        <v>-67.717332127341308</v>
      </c>
      <c r="G28" s="5">
        <f t="shared" si="7"/>
        <v>70.739997863769531</v>
      </c>
      <c r="H28" s="21"/>
      <c r="I28" s="21"/>
      <c r="J28" s="21"/>
      <c r="K28" s="21"/>
      <c r="L28" s="21"/>
      <c r="M28" s="21"/>
      <c r="N28" s="21"/>
      <c r="O28" s="21"/>
    </row>
    <row r="29" spans="2:17" ht="15.5" thickTop="1" thickBot="1" x14ac:dyDescent="0.4">
      <c r="B29" s="3" t="s">
        <v>95</v>
      </c>
      <c r="C29" s="3" t="s">
        <v>96</v>
      </c>
      <c r="D29" s="116"/>
      <c r="E29" s="21"/>
      <c r="F29" s="7">
        <v>-69.088999109645059</v>
      </c>
      <c r="G29" s="5">
        <f t="shared" si="7"/>
        <v>68.080001831054688</v>
      </c>
      <c r="H29" s="21"/>
      <c r="I29" s="21"/>
      <c r="J29" s="21"/>
      <c r="K29" s="21"/>
      <c r="L29" s="21"/>
      <c r="M29" s="21"/>
      <c r="N29" s="21"/>
      <c r="O29" s="21"/>
    </row>
    <row r="30" spans="2:17" ht="15.5" thickTop="1" thickBot="1" x14ac:dyDescent="0.4">
      <c r="B30" s="3" t="s">
        <v>97</v>
      </c>
      <c r="C30" s="3" t="s">
        <v>98</v>
      </c>
      <c r="D30" s="116"/>
      <c r="E30" s="21"/>
      <c r="F30" s="7">
        <v>0</v>
      </c>
      <c r="G30" s="5">
        <f t="shared" si="7"/>
        <v>716.42999267578125</v>
      </c>
      <c r="H30" s="21"/>
      <c r="I30" s="21"/>
      <c r="J30" s="21"/>
      <c r="K30" s="21"/>
      <c r="L30" s="21"/>
      <c r="M30" s="21"/>
      <c r="N30" s="21"/>
      <c r="O30" s="21"/>
    </row>
    <row r="31" spans="2:17" ht="15.5" thickTop="1" thickBot="1" x14ac:dyDescent="0.4">
      <c r="B31" s="3" t="s">
        <v>99</v>
      </c>
      <c r="C31" s="3" t="s">
        <v>100</v>
      </c>
      <c r="D31" s="116"/>
      <c r="E31" s="21"/>
      <c r="F31" s="7">
        <v>0</v>
      </c>
      <c r="G31" s="5">
        <f t="shared" si="7"/>
        <v>707.239990234375</v>
      </c>
      <c r="H31" s="21"/>
      <c r="I31" s="21"/>
      <c r="J31" s="21"/>
      <c r="K31" s="21"/>
      <c r="L31" s="21"/>
      <c r="M31" s="21"/>
      <c r="N31" s="21"/>
      <c r="O31" s="21"/>
    </row>
    <row r="32" spans="2:17" ht="15.5" thickTop="1" thickBot="1" x14ac:dyDescent="0.4">
      <c r="B32" s="3" t="s">
        <v>101</v>
      </c>
      <c r="C32" s="3" t="s">
        <v>102</v>
      </c>
      <c r="D32" s="21"/>
      <c r="E32" s="21"/>
      <c r="F32" s="7">
        <v>0</v>
      </c>
      <c r="G32" s="5">
        <f t="shared" si="7"/>
        <v>535.05999755859375</v>
      </c>
      <c r="H32" s="21"/>
      <c r="I32" s="69"/>
      <c r="J32" s="21"/>
      <c r="K32" s="21"/>
      <c r="L32" s="21"/>
      <c r="M32" s="21"/>
      <c r="N32" s="163"/>
      <c r="O32" s="163"/>
    </row>
    <row r="33" spans="2:16" ht="15.5" thickTop="1" thickBot="1" x14ac:dyDescent="0.4">
      <c r="B33" s="3" t="s">
        <v>103</v>
      </c>
      <c r="C33" s="3" t="s">
        <v>104</v>
      </c>
      <c r="D33" s="21"/>
      <c r="E33" s="21"/>
      <c r="F33" s="7">
        <v>0</v>
      </c>
      <c r="G33" s="5">
        <f t="shared" si="7"/>
        <v>25.819999694824219</v>
      </c>
      <c r="H33" s="21"/>
      <c r="I33" s="69"/>
      <c r="J33" s="21"/>
      <c r="K33" s="21"/>
      <c r="L33" s="21"/>
      <c r="M33" s="21"/>
      <c r="N33" s="21"/>
      <c r="O33" s="21"/>
    </row>
    <row r="34" spans="2:16" ht="15.5" thickTop="1" thickBot="1" x14ac:dyDescent="0.4">
      <c r="B34" s="3" t="s">
        <v>105</v>
      </c>
      <c r="C34" s="3" t="s">
        <v>106</v>
      </c>
      <c r="D34" s="21"/>
      <c r="E34" s="21"/>
      <c r="F34" s="7">
        <v>0</v>
      </c>
      <c r="G34" s="5">
        <f t="shared" si="7"/>
        <v>32.330001831054688</v>
      </c>
      <c r="H34" s="21"/>
      <c r="I34" s="69"/>
      <c r="J34" s="21"/>
      <c r="K34" s="21"/>
      <c r="L34" s="21"/>
      <c r="M34" s="21"/>
      <c r="N34" s="21"/>
      <c r="O34" s="21"/>
    </row>
    <row r="35" spans="2:16" ht="15.5" thickTop="1" thickBot="1" x14ac:dyDescent="0.4">
      <c r="B35" s="3" t="s">
        <v>107</v>
      </c>
      <c r="C35" s="3" t="s">
        <v>108</v>
      </c>
      <c r="D35" s="21"/>
      <c r="E35" s="21"/>
      <c r="F35" s="7">
        <v>0</v>
      </c>
      <c r="G35" s="5">
        <f t="shared" si="7"/>
        <v>21.290000915527344</v>
      </c>
      <c r="H35" s="21"/>
      <c r="I35" s="69"/>
      <c r="J35" s="21"/>
      <c r="K35" s="21"/>
      <c r="L35" s="21"/>
      <c r="M35" s="21"/>
      <c r="N35" s="21"/>
      <c r="O35" s="21"/>
    </row>
    <row r="36" spans="2:16" ht="15" thickTop="1" x14ac:dyDescent="0.35">
      <c r="B36" s="99"/>
      <c r="C36" s="97"/>
      <c r="D36" s="21"/>
      <c r="E36" s="21"/>
      <c r="F36" s="100"/>
      <c r="G36" s="69"/>
      <c r="H36" s="21"/>
      <c r="I36" s="69"/>
      <c r="J36" s="21"/>
      <c r="K36" s="21"/>
      <c r="L36" s="21"/>
      <c r="M36" s="21"/>
      <c r="N36" s="21"/>
      <c r="O36" s="21"/>
    </row>
    <row r="39" spans="2:16" ht="17" x14ac:dyDescent="0.45">
      <c r="B39" s="167" t="s">
        <v>111</v>
      </c>
      <c r="C39" s="167"/>
      <c r="D39" s="167"/>
    </row>
    <row r="40" spans="2:16" outlineLevel="1" x14ac:dyDescent="0.35">
      <c r="B40" s="152" t="s">
        <v>112</v>
      </c>
      <c r="C40" s="152"/>
      <c r="D40" s="152"/>
      <c r="E40" s="152"/>
      <c r="F40" s="152"/>
      <c r="G40" s="152"/>
      <c r="H40" s="152"/>
      <c r="I40" s="152"/>
      <c r="J40" s="152"/>
      <c r="K40" s="152"/>
    </row>
    <row r="41" spans="2:16" outlineLevel="1" x14ac:dyDescent="0.35">
      <c r="B41" s="152"/>
      <c r="C41" s="152"/>
      <c r="D41" s="152"/>
      <c r="E41" s="152"/>
      <c r="F41" s="152"/>
      <c r="G41" s="152"/>
      <c r="H41" s="152"/>
      <c r="I41" s="152"/>
      <c r="J41" s="152"/>
      <c r="K41" s="152"/>
    </row>
    <row r="42" spans="2:16" ht="15" outlineLevel="1" thickBot="1" x14ac:dyDescent="0.4"/>
    <row r="43" spans="2:16" ht="16.5" outlineLevel="1" thickBot="1" x14ac:dyDescent="0.5">
      <c r="B43" s="156" t="s">
        <v>66</v>
      </c>
      <c r="C43" s="156"/>
      <c r="D43" s="164" t="s">
        <v>78</v>
      </c>
      <c r="E43" s="165"/>
      <c r="F43" s="165"/>
      <c r="G43" s="165"/>
      <c r="H43" s="165"/>
      <c r="I43" s="165"/>
      <c r="J43" s="166"/>
      <c r="K43" s="160" t="s">
        <v>79</v>
      </c>
      <c r="L43" s="161"/>
      <c r="M43" s="161"/>
      <c r="N43" s="162"/>
      <c r="O43" s="21"/>
    </row>
    <row r="44" spans="2:16" ht="36" outlineLevel="1" thickTop="1" thickBot="1" x14ac:dyDescent="0.4">
      <c r="B44" s="17" t="s">
        <v>41</v>
      </c>
      <c r="C44" s="71" t="s">
        <v>42</v>
      </c>
      <c r="D44" s="32" t="s">
        <v>43</v>
      </c>
      <c r="E44" s="61" t="s">
        <v>67</v>
      </c>
      <c r="F44" s="63" t="s">
        <v>113</v>
      </c>
      <c r="G44" s="33" t="s">
        <v>50</v>
      </c>
      <c r="H44" s="33" t="s">
        <v>114</v>
      </c>
      <c r="I44" s="33" t="s">
        <v>115</v>
      </c>
      <c r="J44" s="33" t="s">
        <v>116</v>
      </c>
      <c r="K44" s="62" t="s">
        <v>43</v>
      </c>
      <c r="L44" s="62" t="s">
        <v>67</v>
      </c>
      <c r="M44" s="34" t="s">
        <v>70</v>
      </c>
      <c r="N44" s="35" t="s">
        <v>72</v>
      </c>
      <c r="O44" s="73" t="s">
        <v>73</v>
      </c>
      <c r="P44" s="21"/>
    </row>
    <row r="45" spans="2:16" ht="15.5" outlineLevel="1" thickTop="1" thickBot="1" x14ac:dyDescent="0.4">
      <c r="B45" s="123" t="str">
        <f>B7</f>
        <v>TQQQ</v>
      </c>
      <c r="C45" s="124" t="str">
        <f>C7</f>
        <v>ProShares UltraPro QQQ</v>
      </c>
      <c r="D45" s="90">
        <v>0</v>
      </c>
      <c r="E45" s="91">
        <v>0</v>
      </c>
      <c r="F45" s="5">
        <f>F7</f>
        <v>64.620002746582031</v>
      </c>
      <c r="G45" s="6">
        <f>D45*F45/$F$59</f>
        <v>0</v>
      </c>
      <c r="H45" s="5">
        <f>H7</f>
        <v>71.849998474121094</v>
      </c>
      <c r="I45" s="4">
        <f>IFERROR(I7/D7*D45,0)</f>
        <v>0</v>
      </c>
      <c r="J45" s="57" t="e">
        <f>(H45+I45/D45)/F45-1</f>
        <v>#DIV/0!</v>
      </c>
      <c r="K45" s="42">
        <f>D45+F62</f>
        <v>35.672263599521877</v>
      </c>
      <c r="L45" s="64">
        <f>IF(K45&gt;0,IF(K45&gt;D45,(D45*E45+(K45-D45)*G62)/K45,E45),0)</f>
        <v>71.849998474121094</v>
      </c>
      <c r="M45" s="4">
        <f>K45*H45</f>
        <v>2563.0520851940923</v>
      </c>
      <c r="N45" s="38">
        <f>M45/$M$59</f>
        <v>0.33400000000000007</v>
      </c>
      <c r="O45" s="39">
        <f>N45-N7</f>
        <v>0</v>
      </c>
      <c r="P45" s="21"/>
    </row>
    <row r="46" spans="2:16" ht="15.5" outlineLevel="1" thickTop="1" thickBot="1" x14ac:dyDescent="0.4">
      <c r="B46" s="123" t="str">
        <f t="shared" ref="B46:C46" si="8">B8</f>
        <v>SPXL</v>
      </c>
      <c r="C46" s="124" t="str">
        <f t="shared" si="8"/>
        <v>Direxion Daily S&amp;P 500 Bull 3X Shares</v>
      </c>
      <c r="D46" s="90">
        <v>0</v>
      </c>
      <c r="E46" s="91">
        <v>0</v>
      </c>
      <c r="F46" s="5">
        <f t="shared" ref="F46:F56" si="9">F8</f>
        <v>268.20001220703125</v>
      </c>
      <c r="G46" s="6">
        <f t="shared" ref="G46:G56" si="10">D46*F46/$F$59</f>
        <v>0</v>
      </c>
      <c r="H46" s="5">
        <f t="shared" ref="H46:H56" si="11">H8</f>
        <v>290.1400146484375</v>
      </c>
      <c r="I46" s="4">
        <f t="shared" ref="I46:I56" si="12">IFERROR(I8/D8*D46,0)</f>
        <v>0</v>
      </c>
      <c r="J46" s="57" t="e">
        <f t="shared" ref="J46:J56" si="13">(H46+I46/D46)/F46-1</f>
        <v>#DIV/0!</v>
      </c>
      <c r="K46" s="42">
        <f t="shared" ref="K46:K56" si="14">D46+F63</f>
        <v>8.8073969378271997</v>
      </c>
      <c r="L46" s="64">
        <f t="shared" ref="L46:L56" si="15">IF(K46&gt;0,IF(K46&gt;D46,(D46*E46+(K46-D46)*G63)/K46,E46),0)</f>
        <v>290.1400146484375</v>
      </c>
      <c r="M46" s="4">
        <f t="shared" ref="M46:M56" si="16">K46*H46</f>
        <v>2555.3782765557871</v>
      </c>
      <c r="N46" s="38">
        <f t="shared" ref="N46:N56" si="17">M46/$M$59</f>
        <v>0.33300000000000013</v>
      </c>
      <c r="O46" s="39">
        <f t="shared" ref="O46:O57" si="18">N46-N8</f>
        <v>0</v>
      </c>
      <c r="P46" s="21"/>
    </row>
    <row r="47" spans="2:16" ht="15.5" outlineLevel="1" thickTop="1" thickBot="1" x14ac:dyDescent="0.4">
      <c r="B47" s="123" t="str">
        <f t="shared" ref="B47:C47" si="19">B9</f>
        <v>UDOW</v>
      </c>
      <c r="C47" s="124" t="str">
        <f t="shared" si="19"/>
        <v>ProShares UltraPro Dow30</v>
      </c>
      <c r="D47" s="90">
        <v>0</v>
      </c>
      <c r="E47" s="91">
        <v>0</v>
      </c>
      <c r="F47" s="5">
        <f t="shared" si="9"/>
        <v>70.099998474121094</v>
      </c>
      <c r="G47" s="6">
        <f t="shared" si="10"/>
        <v>0</v>
      </c>
      <c r="H47" s="5">
        <f t="shared" si="11"/>
        <v>73.870002746582031</v>
      </c>
      <c r="I47" s="4">
        <f t="shared" si="12"/>
        <v>0</v>
      </c>
      <c r="J47" s="57" t="e">
        <f t="shared" si="13"/>
        <v>#DIV/0!</v>
      </c>
      <c r="K47" s="42">
        <f t="shared" si="14"/>
        <v>34.592908914898139</v>
      </c>
      <c r="L47" s="64">
        <f t="shared" si="15"/>
        <v>73.870002746582031</v>
      </c>
      <c r="M47" s="4">
        <f t="shared" si="16"/>
        <v>2555.3782765557876</v>
      </c>
      <c r="N47" s="38">
        <f t="shared" si="17"/>
        <v>0.33300000000000018</v>
      </c>
      <c r="O47" s="39">
        <f t="shared" si="18"/>
        <v>0</v>
      </c>
      <c r="P47" s="21"/>
    </row>
    <row r="48" spans="2:16" ht="15.5" outlineLevel="1" thickTop="1" thickBot="1" x14ac:dyDescent="0.4">
      <c r="B48" s="121" t="str">
        <f t="shared" ref="B48:C48" si="20">B10</f>
        <v>QLD</v>
      </c>
      <c r="C48" s="122" t="str">
        <f t="shared" si="20"/>
        <v>ProShares Ultra QQQ</v>
      </c>
      <c r="D48" s="90">
        <v>30.23</v>
      </c>
      <c r="E48" s="91">
        <v>116.54</v>
      </c>
      <c r="F48" s="5">
        <f t="shared" si="9"/>
        <v>83.669998168945313</v>
      </c>
      <c r="G48" s="6">
        <f t="shared" si="10"/>
        <v>0.34845288369031396</v>
      </c>
      <c r="H48" s="5">
        <f t="shared" si="11"/>
        <v>90.169998168945313</v>
      </c>
      <c r="I48" s="4">
        <f t="shared" si="12"/>
        <v>0</v>
      </c>
      <c r="J48" s="57">
        <f t="shared" si="13"/>
        <v>7.7686149662335335E-2</v>
      </c>
      <c r="K48" s="42">
        <f>D48+F65</f>
        <v>0</v>
      </c>
      <c r="L48" s="64">
        <f t="shared" si="15"/>
        <v>0</v>
      </c>
      <c r="M48" s="4">
        <f t="shared" si="16"/>
        <v>0</v>
      </c>
      <c r="N48" s="38">
        <f t="shared" si="17"/>
        <v>0</v>
      </c>
      <c r="O48" s="39">
        <f t="shared" si="18"/>
        <v>0</v>
      </c>
      <c r="P48" s="21"/>
    </row>
    <row r="49" spans="2:16" ht="15.5" outlineLevel="1" thickTop="1" thickBot="1" x14ac:dyDescent="0.4">
      <c r="B49" s="121" t="str">
        <f t="shared" ref="B49:C49" si="21">B11</f>
        <v>SSO</v>
      </c>
      <c r="C49" s="122" t="str">
        <f t="shared" si="21"/>
        <v>ProShares Ultra S&amp;P500</v>
      </c>
      <c r="D49" s="90">
        <v>34.520000000000003</v>
      </c>
      <c r="E49" s="91">
        <v>97.56</v>
      </c>
      <c r="F49" s="5">
        <f t="shared" si="9"/>
        <v>66.989997863769531</v>
      </c>
      <c r="G49" s="6">
        <f t="shared" si="10"/>
        <v>0.31857882583758873</v>
      </c>
      <c r="H49" s="5">
        <f t="shared" si="11"/>
        <v>70.739997863769531</v>
      </c>
      <c r="I49" s="4">
        <f t="shared" si="12"/>
        <v>0</v>
      </c>
      <c r="J49" s="57">
        <f t="shared" si="13"/>
        <v>5.5978506039453535E-2</v>
      </c>
      <c r="K49" s="42">
        <f t="shared" si="14"/>
        <v>0</v>
      </c>
      <c r="L49" s="64">
        <f t="shared" si="15"/>
        <v>0</v>
      </c>
      <c r="M49" s="4">
        <f t="shared" si="16"/>
        <v>0</v>
      </c>
      <c r="N49" s="38">
        <f t="shared" si="17"/>
        <v>0</v>
      </c>
      <c r="O49" s="39">
        <f t="shared" si="18"/>
        <v>0</v>
      </c>
      <c r="P49" s="21"/>
    </row>
    <row r="50" spans="2:16" ht="15.5" outlineLevel="1" thickTop="1" thickBot="1" x14ac:dyDescent="0.4">
      <c r="B50" s="121" t="str">
        <f t="shared" ref="B50:C50" si="22">B12</f>
        <v>DDM</v>
      </c>
      <c r="C50" s="122" t="str">
        <f t="shared" si="22"/>
        <v>ProShares Ultra Dow30</v>
      </c>
      <c r="D50" s="90">
        <v>36.81</v>
      </c>
      <c r="E50" s="91">
        <v>94.59</v>
      </c>
      <c r="F50" s="5">
        <f t="shared" si="9"/>
        <v>65.660003662109375</v>
      </c>
      <c r="G50" s="6">
        <f t="shared" si="10"/>
        <v>0.33296829047209731</v>
      </c>
      <c r="H50" s="5">
        <f t="shared" si="11"/>
        <v>68.080001831054688</v>
      </c>
      <c r="I50" s="4">
        <f t="shared" si="12"/>
        <v>0</v>
      </c>
      <c r="J50" s="57">
        <f t="shared" si="13"/>
        <v>3.6856503715698485E-2</v>
      </c>
      <c r="K50" s="42">
        <f t="shared" si="14"/>
        <v>0</v>
      </c>
      <c r="L50" s="64">
        <f t="shared" si="15"/>
        <v>0</v>
      </c>
      <c r="M50" s="4">
        <f t="shared" si="16"/>
        <v>0</v>
      </c>
      <c r="N50" s="38">
        <f t="shared" si="17"/>
        <v>0</v>
      </c>
      <c r="O50" s="39">
        <f t="shared" si="18"/>
        <v>0</v>
      </c>
      <c r="P50" s="21"/>
    </row>
    <row r="51" spans="2:16" ht="15.5" outlineLevel="1" thickTop="1" thickBot="1" x14ac:dyDescent="0.4">
      <c r="B51" s="3" t="str">
        <f t="shared" ref="B51:C51" si="23">B13</f>
        <v>QQQ</v>
      </c>
      <c r="C51" s="37" t="str">
        <f t="shared" si="23"/>
        <v>Invesco QQQ Trust</v>
      </c>
      <c r="D51" s="90">
        <v>0</v>
      </c>
      <c r="E51" s="91">
        <v>0</v>
      </c>
      <c r="F51" s="5">
        <f t="shared" si="9"/>
        <v>687.989990234375</v>
      </c>
      <c r="G51" s="6">
        <f t="shared" si="10"/>
        <v>0</v>
      </c>
      <c r="H51" s="5">
        <f t="shared" si="11"/>
        <v>716.42999267578125</v>
      </c>
      <c r="I51" s="4">
        <f t="shared" si="12"/>
        <v>0</v>
      </c>
      <c r="J51" s="57" t="e">
        <f t="shared" si="13"/>
        <v>#DIV/0!</v>
      </c>
      <c r="K51" s="42">
        <f t="shared" si="14"/>
        <v>0</v>
      </c>
      <c r="L51" s="64">
        <f t="shared" si="15"/>
        <v>0</v>
      </c>
      <c r="M51" s="4">
        <f t="shared" si="16"/>
        <v>0</v>
      </c>
      <c r="N51" s="38">
        <f t="shared" si="17"/>
        <v>0</v>
      </c>
      <c r="O51" s="39">
        <f t="shared" si="18"/>
        <v>0</v>
      </c>
      <c r="P51" s="21"/>
    </row>
    <row r="52" spans="2:16" ht="15.5" outlineLevel="1" thickTop="1" thickBot="1" x14ac:dyDescent="0.4">
      <c r="B52" s="3" t="str">
        <f t="shared" ref="B52:C52" si="24">B14</f>
        <v>VOO</v>
      </c>
      <c r="C52" s="37" t="str">
        <f t="shared" si="24"/>
        <v>Vanguard S&amp;P 500 ETF</v>
      </c>
      <c r="D52" s="90">
        <v>0</v>
      </c>
      <c r="E52" s="91">
        <v>0</v>
      </c>
      <c r="F52" s="5">
        <f t="shared" si="9"/>
        <v>686.6500244140625</v>
      </c>
      <c r="G52" s="6">
        <f t="shared" si="10"/>
        <v>0</v>
      </c>
      <c r="H52" s="5">
        <f t="shared" si="11"/>
        <v>707.239990234375</v>
      </c>
      <c r="I52" s="4">
        <f t="shared" si="12"/>
        <v>0</v>
      </c>
      <c r="J52" s="57" t="e">
        <f t="shared" si="13"/>
        <v>#DIV/0!</v>
      </c>
      <c r="K52" s="42">
        <f t="shared" si="14"/>
        <v>0</v>
      </c>
      <c r="L52" s="64">
        <f t="shared" si="15"/>
        <v>0</v>
      </c>
      <c r="M52" s="4">
        <f t="shared" si="16"/>
        <v>0</v>
      </c>
      <c r="N52" s="38">
        <f t="shared" si="17"/>
        <v>0</v>
      </c>
      <c r="O52" s="39">
        <f t="shared" si="18"/>
        <v>0</v>
      </c>
      <c r="P52" s="21"/>
    </row>
    <row r="53" spans="2:16" ht="15.5" outlineLevel="1" thickTop="1" thickBot="1" x14ac:dyDescent="0.4">
      <c r="B53" s="3" t="str">
        <f t="shared" ref="B53:C53" si="25">B15</f>
        <v>DIA</v>
      </c>
      <c r="C53" s="37" t="str">
        <f t="shared" si="25"/>
        <v>SPDR Dow Jones Industrial Average ETF Trust</v>
      </c>
      <c r="D53" s="90">
        <v>0</v>
      </c>
      <c r="E53" s="91">
        <v>0</v>
      </c>
      <c r="F53" s="5">
        <f t="shared" si="9"/>
        <v>524.32000732421875</v>
      </c>
      <c r="G53" s="6">
        <f t="shared" si="10"/>
        <v>0</v>
      </c>
      <c r="H53" s="5">
        <f t="shared" si="11"/>
        <v>535.05999755859375</v>
      </c>
      <c r="I53" s="4">
        <f t="shared" si="12"/>
        <v>0</v>
      </c>
      <c r="J53" s="57" t="e">
        <f t="shared" si="13"/>
        <v>#DIV/0!</v>
      </c>
      <c r="K53" s="42">
        <f t="shared" si="14"/>
        <v>0</v>
      </c>
      <c r="L53" s="64">
        <f t="shared" si="15"/>
        <v>0</v>
      </c>
      <c r="M53" s="4">
        <f t="shared" si="16"/>
        <v>0</v>
      </c>
      <c r="N53" s="38">
        <f t="shared" si="17"/>
        <v>0</v>
      </c>
      <c r="O53" s="39">
        <f t="shared" si="18"/>
        <v>0</v>
      </c>
      <c r="P53" s="21"/>
    </row>
    <row r="54" spans="2:16" ht="15.5" outlineLevel="1" thickTop="1" thickBot="1" x14ac:dyDescent="0.4">
      <c r="B54" s="125" t="str">
        <f t="shared" ref="B54:C56" si="26">B16</f>
        <v>PSQ</v>
      </c>
      <c r="C54" s="126" t="str">
        <f t="shared" si="26"/>
        <v>ProShares Short QQQ</v>
      </c>
      <c r="D54" s="90">
        <v>0</v>
      </c>
      <c r="E54" s="91">
        <v>0</v>
      </c>
      <c r="F54" s="5">
        <f t="shared" si="9"/>
        <v>26.829999923706055</v>
      </c>
      <c r="G54" s="6">
        <f t="shared" si="10"/>
        <v>0</v>
      </c>
      <c r="H54" s="5">
        <f t="shared" si="11"/>
        <v>25.819999694824219</v>
      </c>
      <c r="I54" s="4">
        <f t="shared" si="12"/>
        <v>0</v>
      </c>
      <c r="J54" s="57" t="e">
        <f t="shared" si="13"/>
        <v>#DIV/0!</v>
      </c>
      <c r="K54" s="42">
        <f t="shared" si="14"/>
        <v>0</v>
      </c>
      <c r="L54" s="64">
        <f t="shared" si="15"/>
        <v>0</v>
      </c>
      <c r="M54" s="4">
        <f t="shared" si="16"/>
        <v>0</v>
      </c>
      <c r="N54" s="38">
        <f t="shared" si="17"/>
        <v>0</v>
      </c>
      <c r="O54" s="39">
        <f t="shared" si="18"/>
        <v>0</v>
      </c>
      <c r="P54" s="21"/>
    </row>
    <row r="55" spans="2:16" ht="15.5" outlineLevel="1" thickTop="1" thickBot="1" x14ac:dyDescent="0.4">
      <c r="B55" s="125" t="str">
        <f t="shared" si="26"/>
        <v>SH</v>
      </c>
      <c r="C55" s="126" t="str">
        <f t="shared" si="26"/>
        <v>ProShares Short S&amp;P500</v>
      </c>
      <c r="D55" s="90">
        <v>0</v>
      </c>
      <c r="E55" s="91">
        <v>0</v>
      </c>
      <c r="F55" s="5">
        <f t="shared" si="9"/>
        <v>33.159999847412109</v>
      </c>
      <c r="G55" s="6">
        <f t="shared" si="10"/>
        <v>0</v>
      </c>
      <c r="H55" s="5">
        <f t="shared" si="11"/>
        <v>32.330001831054688</v>
      </c>
      <c r="I55" s="4">
        <f t="shared" si="12"/>
        <v>0</v>
      </c>
      <c r="J55" s="57" t="e">
        <f t="shared" si="13"/>
        <v>#DIV/0!</v>
      </c>
      <c r="K55" s="42">
        <f t="shared" si="14"/>
        <v>0</v>
      </c>
      <c r="L55" s="64">
        <f t="shared" si="15"/>
        <v>0</v>
      </c>
      <c r="M55" s="4">
        <f t="shared" si="16"/>
        <v>0</v>
      </c>
      <c r="N55" s="38">
        <f t="shared" si="17"/>
        <v>0</v>
      </c>
      <c r="O55" s="39">
        <f t="shared" si="18"/>
        <v>0</v>
      </c>
      <c r="P55" s="21"/>
    </row>
    <row r="56" spans="2:16" ht="15.5" outlineLevel="1" thickTop="1" thickBot="1" x14ac:dyDescent="0.4">
      <c r="B56" s="125" t="str">
        <f t="shared" si="26"/>
        <v>DOG</v>
      </c>
      <c r="C56" s="126" t="str">
        <f t="shared" si="26"/>
        <v>ProShares Short Dow30</v>
      </c>
      <c r="D56" s="90">
        <v>0</v>
      </c>
      <c r="E56" s="91">
        <v>0</v>
      </c>
      <c r="F56" s="5">
        <f t="shared" si="9"/>
        <v>21.649999618530273</v>
      </c>
      <c r="G56" s="6">
        <f t="shared" si="10"/>
        <v>0</v>
      </c>
      <c r="H56" s="5">
        <f t="shared" si="11"/>
        <v>21.290000915527344</v>
      </c>
      <c r="I56" s="4">
        <f t="shared" si="12"/>
        <v>0</v>
      </c>
      <c r="J56" s="57" t="e">
        <f t="shared" si="13"/>
        <v>#DIV/0!</v>
      </c>
      <c r="K56" s="42">
        <f t="shared" si="14"/>
        <v>0</v>
      </c>
      <c r="L56" s="64">
        <f t="shared" si="15"/>
        <v>0</v>
      </c>
      <c r="M56" s="4">
        <f t="shared" si="16"/>
        <v>0</v>
      </c>
      <c r="N56" s="38">
        <f t="shared" si="17"/>
        <v>0</v>
      </c>
      <c r="O56" s="39">
        <f t="shared" si="18"/>
        <v>0</v>
      </c>
      <c r="P56" s="21"/>
    </row>
    <row r="57" spans="2:16" ht="15.5" outlineLevel="1" thickTop="1" thickBot="1" x14ac:dyDescent="0.4">
      <c r="B57" s="3" t="s">
        <v>59</v>
      </c>
      <c r="C57" s="37"/>
      <c r="D57" s="131">
        <v>0</v>
      </c>
      <c r="E57" s="60"/>
      <c r="F57" s="41"/>
      <c r="G57" s="59">
        <f>D57/$F$59</f>
        <v>0</v>
      </c>
      <c r="H57" s="41">
        <f>D57</f>
        <v>0</v>
      </c>
      <c r="I57" s="58"/>
      <c r="J57" s="118" t="e">
        <f>H57/D57-1</f>
        <v>#DIV/0!</v>
      </c>
      <c r="K57" s="42">
        <f>H57+I59-SUMPRODUCT(F62:F73,G62:G73)</f>
        <v>-2.7284841053187847E-12</v>
      </c>
      <c r="L57" s="56"/>
      <c r="M57" s="43">
        <f>K57</f>
        <v>-2.7284841053187847E-12</v>
      </c>
      <c r="N57" s="44">
        <f>M57/$M$59</f>
        <v>-3.555580069717792E-16</v>
      </c>
      <c r="O57" s="39">
        <f t="shared" si="18"/>
        <v>-1.0287465631752475E-16</v>
      </c>
      <c r="P57" s="21"/>
    </row>
    <row r="58" spans="2:16" ht="15.5" outlineLevel="1" thickTop="1" thickBot="1" x14ac:dyDescent="0.4">
      <c r="B58" s="21"/>
      <c r="C58" s="21"/>
      <c r="D58" s="45"/>
      <c r="E58" s="45"/>
      <c r="F58" s="46"/>
      <c r="G58" s="46"/>
      <c r="H58" s="47"/>
      <c r="I58" s="47"/>
      <c r="J58" s="47"/>
      <c r="K58" s="45"/>
      <c r="L58" s="45"/>
      <c r="M58" s="46"/>
      <c r="N58" s="47"/>
    </row>
    <row r="59" spans="2:16" ht="15.5" outlineLevel="1" thickTop="1" thickBot="1" x14ac:dyDescent="0.4">
      <c r="B59" s="10" t="s">
        <v>60</v>
      </c>
      <c r="C59" s="10"/>
      <c r="D59" s="10"/>
      <c r="E59" s="49"/>
      <c r="F59" s="11">
        <f>SUMPRODUCT(D45:D56,F45:F56)+D57</f>
        <v>7258.7835057067878</v>
      </c>
      <c r="G59" s="12">
        <f>SUM(G45:G57)</f>
        <v>1</v>
      </c>
      <c r="H59" s="49">
        <f>SUMPRODUCT(D45:D56,H45:H56)+H57</f>
        <v>7673.8086383056652</v>
      </c>
      <c r="I59" s="49">
        <f>SUM(I45:I57)</f>
        <v>0</v>
      </c>
      <c r="J59" s="14">
        <f>(H59+I59)/F59-1</f>
        <v>5.7175576633824221E-2</v>
      </c>
      <c r="K59" s="104" t="s">
        <v>61</v>
      </c>
      <c r="L59" s="48"/>
      <c r="M59" s="49">
        <f>SUM(M45:M57)</f>
        <v>7673.8086383056643</v>
      </c>
      <c r="N59" s="48">
        <f>SUM(N45:N57)</f>
        <v>1</v>
      </c>
      <c r="O59" s="13">
        <f t="array" ref="O59">SUM(ABS(O45:O57))</f>
        <v>1.0287465631752475E-16</v>
      </c>
      <c r="P59" s="25" t="str">
        <f>IF(O59&lt;0.1,"Excelente",IF(AND(O59&lt;=0.2,O59&gt;=0.1),"Buena",IF(AND(O59&lt;=0.35,O59&gt;0.2),"Regular","Mala")))</f>
        <v>Excelente</v>
      </c>
    </row>
    <row r="60" spans="2:16" ht="26.15" customHeight="1" outlineLevel="1" thickTop="1" thickBot="1" x14ac:dyDescent="0.4">
      <c r="B60" s="50"/>
      <c r="C60" s="50"/>
      <c r="D60" s="50"/>
      <c r="E60" s="50"/>
      <c r="F60" s="51"/>
      <c r="G60" s="89"/>
      <c r="H60" s="52"/>
      <c r="I60" s="52"/>
      <c r="J60" s="14">
        <f>LN((H59+I59)/F59)</f>
        <v>5.5600801545676197E-2</v>
      </c>
      <c r="K60" s="23" t="s">
        <v>62</v>
      </c>
      <c r="L60" s="52"/>
      <c r="M60" s="53"/>
      <c r="N60" s="52"/>
      <c r="O60" s="150" t="s">
        <v>74</v>
      </c>
      <c r="P60" s="151"/>
    </row>
    <row r="61" spans="2:16" ht="15.5" outlineLevel="1" thickTop="1" thickBot="1" x14ac:dyDescent="0.4">
      <c r="B61" s="54" t="str">
        <f>B23</f>
        <v>Movimientos 28-08-2026  (precios MXN cierre):</v>
      </c>
      <c r="C61" s="21"/>
      <c r="D61" s="21"/>
      <c r="E61" s="21"/>
      <c r="F61" s="66" t="s">
        <v>109</v>
      </c>
      <c r="G61" s="67" t="s">
        <v>117</v>
      </c>
      <c r="H61" s="21"/>
      <c r="I61" s="21"/>
      <c r="J61" s="21"/>
      <c r="K61" s="21"/>
      <c r="L61" s="21"/>
      <c r="M61" s="21"/>
      <c r="N61" s="21"/>
      <c r="O61" s="21"/>
    </row>
    <row r="62" spans="2:16" ht="15.5" outlineLevel="1" thickTop="1" thickBot="1" x14ac:dyDescent="0.4">
      <c r="B62" s="3" t="str">
        <f t="shared" ref="B62:C62" si="27">B24</f>
        <v>TQQQ</v>
      </c>
      <c r="C62" s="3" t="str">
        <f t="shared" si="27"/>
        <v>ProShares UltraPro QQQ</v>
      </c>
      <c r="D62" s="21"/>
      <c r="E62" s="21"/>
      <c r="F62" s="68">
        <f>IFERROR(N7*$H$59/G62-D45,0)</f>
        <v>35.672263599521877</v>
      </c>
      <c r="G62" s="92">
        <f>G24</f>
        <v>71.849998474121094</v>
      </c>
      <c r="H62" s="21"/>
      <c r="I62" s="21"/>
      <c r="J62" s="21"/>
      <c r="K62" s="21"/>
      <c r="L62" s="21"/>
      <c r="M62" s="21"/>
      <c r="N62" s="21"/>
      <c r="O62" s="21"/>
    </row>
    <row r="63" spans="2:16" ht="15.5" outlineLevel="1" thickTop="1" thickBot="1" x14ac:dyDescent="0.4">
      <c r="B63" s="3" t="str">
        <f t="shared" ref="B63:C63" si="28">B25</f>
        <v>SPXL</v>
      </c>
      <c r="C63" s="3" t="str">
        <f t="shared" si="28"/>
        <v>Direxion Daily S&amp;P 500 Bull 3X Shares</v>
      </c>
      <c r="D63" s="21"/>
      <c r="E63" s="21"/>
      <c r="F63" s="68">
        <f t="shared" ref="F63:F73" si="29">IFERROR(N8*$H$59/G63-D46,0)</f>
        <v>8.8073969378271997</v>
      </c>
      <c r="G63" s="92">
        <f t="shared" ref="G63:G73" si="30">G25</f>
        <v>290.1400146484375</v>
      </c>
      <c r="H63" s="21"/>
      <c r="I63" s="21"/>
      <c r="J63" s="21"/>
      <c r="K63" s="21"/>
      <c r="L63" s="21"/>
      <c r="M63" s="21"/>
      <c r="N63" s="21"/>
      <c r="O63" s="21"/>
    </row>
    <row r="64" spans="2:16" ht="15.5" outlineLevel="1" thickTop="1" thickBot="1" x14ac:dyDescent="0.4">
      <c r="B64" s="3" t="str">
        <f t="shared" ref="B64:C64" si="31">B26</f>
        <v>UDOW</v>
      </c>
      <c r="C64" s="3" t="str">
        <f t="shared" si="31"/>
        <v>ProShares UltraPro Dow30</v>
      </c>
      <c r="D64" s="21"/>
      <c r="E64" s="21"/>
      <c r="F64" s="68">
        <f t="shared" si="29"/>
        <v>34.592908914898139</v>
      </c>
      <c r="G64" s="92">
        <f t="shared" si="30"/>
        <v>73.870002746582031</v>
      </c>
      <c r="H64" s="21"/>
      <c r="I64" s="21"/>
      <c r="J64" s="21"/>
      <c r="K64" s="21"/>
      <c r="L64" s="21"/>
      <c r="M64" s="21"/>
      <c r="N64" s="21"/>
      <c r="O64" s="21"/>
    </row>
    <row r="65" spans="2:15" ht="15.5" outlineLevel="1" thickTop="1" thickBot="1" x14ac:dyDescent="0.4">
      <c r="B65" s="3" t="str">
        <f t="shared" ref="B65:C65" si="32">B27</f>
        <v>QLD</v>
      </c>
      <c r="C65" s="3" t="str">
        <f t="shared" si="32"/>
        <v>ProShares Ultra QQQ</v>
      </c>
      <c r="D65" s="21"/>
      <c r="E65" s="21"/>
      <c r="F65" s="68">
        <f t="shared" si="29"/>
        <v>-30.23</v>
      </c>
      <c r="G65" s="92">
        <f t="shared" si="30"/>
        <v>90.169998168945313</v>
      </c>
      <c r="H65" s="21"/>
      <c r="I65" s="21"/>
      <c r="J65" s="21"/>
      <c r="K65" s="21"/>
      <c r="L65" s="21"/>
      <c r="M65" s="21"/>
      <c r="N65" s="21"/>
      <c r="O65" s="21"/>
    </row>
    <row r="66" spans="2:15" ht="15.5" outlineLevel="1" thickTop="1" thickBot="1" x14ac:dyDescent="0.4">
      <c r="B66" s="3" t="str">
        <f t="shared" ref="B66:C66" si="33">B28</f>
        <v>SSO</v>
      </c>
      <c r="C66" s="3" t="str">
        <f t="shared" si="33"/>
        <v>ProShares Ultra S&amp;P500</v>
      </c>
      <c r="D66" s="21"/>
      <c r="E66" s="21"/>
      <c r="F66" s="68">
        <f t="shared" si="29"/>
        <v>-34.520000000000003</v>
      </c>
      <c r="G66" s="92">
        <f t="shared" si="30"/>
        <v>70.739997863769531</v>
      </c>
      <c r="H66" s="21"/>
      <c r="I66" s="21"/>
      <c r="J66" s="21"/>
      <c r="K66" s="21"/>
      <c r="L66" s="21"/>
      <c r="M66" s="21"/>
      <c r="N66" s="21"/>
      <c r="O66" s="21"/>
    </row>
    <row r="67" spans="2:15" ht="15.5" outlineLevel="1" thickTop="1" thickBot="1" x14ac:dyDescent="0.4">
      <c r="B67" s="3" t="str">
        <f t="shared" ref="B67:C67" si="34">B29</f>
        <v>DDM</v>
      </c>
      <c r="C67" s="3" t="str">
        <f t="shared" si="34"/>
        <v>ProShares Ultra Dow30</v>
      </c>
      <c r="D67" s="21"/>
      <c r="E67" s="21"/>
      <c r="F67" s="68">
        <f t="shared" si="29"/>
        <v>-36.81</v>
      </c>
      <c r="G67" s="92">
        <f t="shared" si="30"/>
        <v>68.080001831054688</v>
      </c>
      <c r="H67" s="21"/>
      <c r="I67" s="21"/>
      <c r="J67" s="21"/>
      <c r="K67" s="21"/>
      <c r="L67" s="21"/>
      <c r="M67" s="21"/>
      <c r="N67" s="21"/>
      <c r="O67" s="21"/>
    </row>
    <row r="68" spans="2:15" ht="15.5" outlineLevel="1" thickTop="1" thickBot="1" x14ac:dyDescent="0.4">
      <c r="B68" s="3" t="str">
        <f t="shared" ref="B68:C68" si="35">B30</f>
        <v>QQQ</v>
      </c>
      <c r="C68" s="3" t="str">
        <f t="shared" si="35"/>
        <v>Invesco QQQ Trust</v>
      </c>
      <c r="D68" s="21"/>
      <c r="E68" s="21"/>
      <c r="F68" s="68">
        <f t="shared" si="29"/>
        <v>0</v>
      </c>
      <c r="G68" s="92">
        <f t="shared" si="30"/>
        <v>716.42999267578125</v>
      </c>
      <c r="H68" s="21"/>
      <c r="I68" s="21"/>
      <c r="J68" s="21"/>
      <c r="K68" s="21"/>
      <c r="L68" s="21"/>
      <c r="M68" s="21"/>
      <c r="N68" s="21"/>
      <c r="O68" s="21"/>
    </row>
    <row r="69" spans="2:15" ht="15.5" outlineLevel="1" thickTop="1" thickBot="1" x14ac:dyDescent="0.4">
      <c r="B69" s="3" t="str">
        <f t="shared" ref="B69:C69" si="36">B31</f>
        <v>VOO</v>
      </c>
      <c r="C69" s="3" t="str">
        <f t="shared" si="36"/>
        <v>Vanguard S&amp;P 500 ETF</v>
      </c>
      <c r="D69" s="21"/>
      <c r="E69" s="21"/>
      <c r="F69" s="68">
        <f t="shared" si="29"/>
        <v>0</v>
      </c>
      <c r="G69" s="92">
        <f t="shared" si="30"/>
        <v>707.239990234375</v>
      </c>
      <c r="H69" s="21"/>
      <c r="I69" s="21"/>
      <c r="J69" s="21"/>
      <c r="K69" s="21"/>
      <c r="L69" s="21"/>
      <c r="M69" s="21"/>
      <c r="N69" s="21"/>
      <c r="O69" s="21"/>
    </row>
    <row r="70" spans="2:15" ht="15.5" outlineLevel="1" thickTop="1" thickBot="1" x14ac:dyDescent="0.4">
      <c r="B70" s="3" t="str">
        <f t="shared" ref="B70:C73" si="37">B32</f>
        <v>DIA</v>
      </c>
      <c r="C70" s="3" t="str">
        <f t="shared" si="37"/>
        <v>SPDR Dow Jones Industrial Average ETF Trust</v>
      </c>
      <c r="D70" s="21"/>
      <c r="E70" s="21"/>
      <c r="F70" s="68">
        <f t="shared" si="29"/>
        <v>0</v>
      </c>
      <c r="G70" s="92">
        <f t="shared" si="30"/>
        <v>535.05999755859375</v>
      </c>
      <c r="H70" s="21"/>
      <c r="I70" s="69"/>
      <c r="J70" s="21"/>
      <c r="K70" s="21"/>
      <c r="L70" s="21"/>
      <c r="M70" s="21"/>
      <c r="N70" s="163"/>
      <c r="O70" s="163"/>
    </row>
    <row r="71" spans="2:15" ht="15.5" outlineLevel="1" thickTop="1" thickBot="1" x14ac:dyDescent="0.4">
      <c r="B71" s="3" t="str">
        <f t="shared" si="37"/>
        <v>PSQ</v>
      </c>
      <c r="C71" s="3" t="str">
        <f t="shared" si="37"/>
        <v>ProShares Short QQQ</v>
      </c>
      <c r="D71" s="21"/>
      <c r="E71" s="21"/>
      <c r="F71" s="68">
        <f t="shared" si="29"/>
        <v>0</v>
      </c>
      <c r="G71" s="92">
        <f t="shared" si="30"/>
        <v>25.819999694824219</v>
      </c>
      <c r="H71" s="21"/>
      <c r="I71" s="69"/>
      <c r="J71" s="21"/>
      <c r="K71" s="21"/>
      <c r="L71" s="21"/>
      <c r="M71" s="21"/>
      <c r="N71" s="21"/>
      <c r="O71" s="21"/>
    </row>
    <row r="72" spans="2:15" ht="15.5" outlineLevel="1" thickTop="1" thickBot="1" x14ac:dyDescent="0.4">
      <c r="B72" s="3" t="str">
        <f t="shared" si="37"/>
        <v>SH</v>
      </c>
      <c r="C72" s="3" t="str">
        <f t="shared" si="37"/>
        <v>ProShares Short S&amp;P500</v>
      </c>
      <c r="D72" s="21"/>
      <c r="E72" s="21"/>
      <c r="F72" s="68">
        <f t="shared" si="29"/>
        <v>0</v>
      </c>
      <c r="G72" s="92">
        <f t="shared" si="30"/>
        <v>32.330001831054688</v>
      </c>
      <c r="H72" s="21"/>
      <c r="I72" s="69"/>
      <c r="J72" s="21"/>
      <c r="K72" s="21"/>
      <c r="L72" s="21"/>
      <c r="M72" s="21"/>
      <c r="N72" s="21"/>
      <c r="O72" s="21"/>
    </row>
    <row r="73" spans="2:15" ht="15.5" outlineLevel="1" thickTop="1" thickBot="1" x14ac:dyDescent="0.4">
      <c r="B73" s="3" t="str">
        <f t="shared" si="37"/>
        <v>DOG</v>
      </c>
      <c r="C73" s="3" t="str">
        <f t="shared" si="37"/>
        <v>ProShares Short Dow30</v>
      </c>
      <c r="D73" s="21"/>
      <c r="E73" s="21"/>
      <c r="F73" s="68">
        <f t="shared" si="29"/>
        <v>0</v>
      </c>
      <c r="G73" s="92">
        <f t="shared" si="30"/>
        <v>21.290000915527344</v>
      </c>
      <c r="H73" s="21"/>
      <c r="I73" s="69"/>
      <c r="J73" s="21"/>
      <c r="K73" s="21"/>
      <c r="L73" s="21"/>
      <c r="M73" s="21"/>
      <c r="N73" s="21"/>
      <c r="O73" s="21"/>
    </row>
    <row r="74" spans="2:15" ht="15" thickTop="1" x14ac:dyDescent="0.35"/>
  </sheetData>
  <sheetProtection algorithmName="SHA-512" hashValue="xpyH7tVERdHRjUy2+wBrdwiTE9iA9ZQMGcN8qUMdkd0iJoo71/7U2NJmxt/k6YT808PuGAou0OGULUnzEaIElg==" saltValue="hJyIy9JpMZtTdyWTBAbfDQ==" spinCount="100000" sheet="1" formatRows="0"/>
  <mergeCells count="15">
    <mergeCell ref="N70:O70"/>
    <mergeCell ref="B40:K41"/>
    <mergeCell ref="O60:P60"/>
    <mergeCell ref="D43:J43"/>
    <mergeCell ref="B39:D39"/>
    <mergeCell ref="B43:C43"/>
    <mergeCell ref="F2:G2"/>
    <mergeCell ref="K43:N43"/>
    <mergeCell ref="K5:N5"/>
    <mergeCell ref="N32:O32"/>
    <mergeCell ref="B2:C2"/>
    <mergeCell ref="D5:J5"/>
    <mergeCell ref="B3:C3"/>
    <mergeCell ref="F3:G3"/>
    <mergeCell ref="F4:G4"/>
  </mergeCells>
  <phoneticPr fontId="40" type="noConversion"/>
  <conditionalFormatting sqref="J7:J18 J45:J56">
    <cfRule type="cellIs" dxfId="15" priority="27" operator="lessThan">
      <formula>0</formula>
    </cfRule>
    <cfRule type="cellIs" dxfId="14" priority="28" operator="greaterThan">
      <formula>0</formula>
    </cfRule>
  </conditionalFormatting>
  <conditionalFormatting sqref="J21:J22">
    <cfRule type="cellIs" dxfId="13" priority="25" operator="lessThan">
      <formula>0</formula>
    </cfRule>
    <cfRule type="cellIs" dxfId="12" priority="26" operator="greaterThan">
      <formula>0</formula>
    </cfRule>
  </conditionalFormatting>
  <conditionalFormatting sqref="J59:J60">
    <cfRule type="cellIs" dxfId="11" priority="3" operator="lessThan">
      <formula>0</formula>
    </cfRule>
    <cfRule type="cellIs" dxfId="10" priority="4" operator="greaterThan">
      <formula>0</formula>
    </cfRule>
  </conditionalFormatting>
  <conditionalFormatting sqref="K20:L20 K7:K19 K45:K57">
    <cfRule type="cellIs" dxfId="9" priority="30" operator="lessThan">
      <formula>D7</formula>
    </cfRule>
    <cfRule type="cellIs" dxfId="8" priority="31" operator="greaterThan">
      <formula>D7</formula>
    </cfRule>
  </conditionalFormatting>
  <conditionalFormatting sqref="K58:L58 L57">
    <cfRule type="cellIs" dxfId="7" priority="22" operator="lessThan">
      <formula>D57</formula>
    </cfRule>
    <cfRule type="cellIs" dxfId="6" priority="23" operator="greaterThan">
      <formula>D57</formula>
    </cfRule>
  </conditionalFormatting>
  <conditionalFormatting sqref="O7:O20">
    <cfRule type="dataBar" priority="83">
      <dataBar>
        <cfvo type="min"/>
        <cfvo type="max"/>
        <color rgb="FF638EC6"/>
      </dataBar>
      <extLst>
        <ext xmlns:x14="http://schemas.microsoft.com/office/spreadsheetml/2009/9/main" uri="{B025F937-C7B1-47D3-B67F-A62EFF666E3E}">
          <x14:id>{86A14078-2EFB-48A7-8E28-59CB16F3CD6D}</x14:id>
        </ext>
      </extLst>
    </cfRule>
  </conditionalFormatting>
  <conditionalFormatting sqref="O45:O57">
    <cfRule type="dataBar" priority="90">
      <dataBar>
        <cfvo type="min"/>
        <cfvo type="max"/>
        <color rgb="FF638EC6"/>
      </dataBar>
      <extLst>
        <ext xmlns:x14="http://schemas.microsoft.com/office/spreadsheetml/2009/9/main" uri="{B025F937-C7B1-47D3-B67F-A62EFF666E3E}">
          <x14:id>{26210A05-C5F0-43B8-B71E-A0A8346D5622}</x14:id>
        </ext>
      </extLst>
    </cfRule>
  </conditionalFormatting>
  <conditionalFormatting sqref="O59">
    <cfRule type="dataBar" priority="11">
      <dataBar>
        <cfvo type="num" val="0"/>
        <cfvo type="num" val="1"/>
        <color rgb="FFFF0000"/>
      </dataBar>
      <extLst>
        <ext xmlns:x14="http://schemas.microsoft.com/office/spreadsheetml/2009/9/main" uri="{B025F937-C7B1-47D3-B67F-A62EFF666E3E}">
          <x14:id>{E78E9CD8-36C2-496A-8F11-39A9276CD6F6}</x14:id>
        </ext>
      </extLst>
    </cfRule>
  </conditionalFormatting>
  <conditionalFormatting sqref="P59">
    <cfRule type="containsText" dxfId="5" priority="7" operator="containsText" text="Mala">
      <formula>NOT(ISERROR(SEARCH("Mala",P59)))</formula>
    </cfRule>
    <cfRule type="containsText" dxfId="4" priority="8" operator="containsText" text="Regular">
      <formula>NOT(ISERROR(SEARCH("Regular",P59)))</formula>
    </cfRule>
    <cfRule type="containsText" dxfId="3" priority="9" operator="containsText" text="Buena">
      <formula>NOT(ISERROR(SEARCH("Buena",P59)))</formula>
    </cfRule>
    <cfRule type="containsText" dxfId="2" priority="10" operator="containsText" text="Excelente">
      <formula>NOT(ISERROR(SEARCH("Excelente",P59)))</formula>
    </cfRule>
  </conditionalFormatting>
  <conditionalFormatting sqref="L19 N19">
    <cfRule type="cellIs" dxfId="1" priority="1" operator="lessThan">
      <formula>E19</formula>
    </cfRule>
    <cfRule type="cellIs" dxfId="0" priority="2" operator="greaterThan">
      <formula>E19</formula>
    </cfRule>
  </conditionalFormatting>
  <dataValidations count="1">
    <dataValidation type="custom" allowBlank="1" showInputMessage="1" showErrorMessage="1" error="Las ponderaciones deben ser mayor a 0 y suma menor o igual a 1 (100%)" sqref="H2:H4" xr:uid="{6D61FC4A-4E95-4304-84E2-BF3D118D4BF1}">
      <formula1>AND(SUM($H$2:$H$4)&lt;=1,H2&gt;0)</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86A14078-2EFB-48A7-8E28-59CB16F3CD6D}">
            <x14:dataBar minLength="0" maxLength="100" border="1" negativeBarBorderColorSameAsPositive="0">
              <x14:cfvo type="autoMin"/>
              <x14:cfvo type="autoMax"/>
              <x14:borderColor rgb="FF638EC6"/>
              <x14:negativeFillColor rgb="FFFF0000"/>
              <x14:negativeBorderColor rgb="FFFF0000"/>
              <x14:axisColor rgb="FF000000"/>
            </x14:dataBar>
          </x14:cfRule>
          <xm:sqref>O7:O20</xm:sqref>
        </x14:conditionalFormatting>
        <x14:conditionalFormatting xmlns:xm="http://schemas.microsoft.com/office/excel/2006/main">
          <x14:cfRule type="dataBar" id="{26210A05-C5F0-43B8-B71E-A0A8346D5622}">
            <x14:dataBar minLength="0" maxLength="100" border="1" negativeBarBorderColorSameAsPositive="0">
              <x14:cfvo type="autoMin"/>
              <x14:cfvo type="autoMax"/>
              <x14:borderColor rgb="FF638EC6"/>
              <x14:negativeFillColor rgb="FFFF0000"/>
              <x14:negativeBorderColor rgb="FFFF0000"/>
              <x14:axisColor rgb="FF000000"/>
            </x14:dataBar>
          </x14:cfRule>
          <xm:sqref>O45:O57</xm:sqref>
        </x14:conditionalFormatting>
        <x14:conditionalFormatting xmlns:xm="http://schemas.microsoft.com/office/excel/2006/main">
          <x14:cfRule type="dataBar" id="{E78E9CD8-36C2-496A-8F11-39A9276CD6F6}">
            <x14:dataBar minLength="0" maxLength="100" gradient="0" direction="rightToLeft">
              <x14:cfvo type="num">
                <xm:f>0</xm:f>
              </x14:cfvo>
              <x14:cfvo type="num">
                <xm:f>1</xm:f>
              </x14:cfvo>
              <x14:negativeFillColor rgb="FFFF0000"/>
              <x14:axisColor rgb="FF000000"/>
            </x14:dataBar>
          </x14:cfRule>
          <xm:sqref>O59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3548A-D681-49D4-B4E5-957A0383F339}">
  <sheetPr codeName="Hoja5">
    <tabColor theme="0" tint="-4.9989318521683403E-2"/>
  </sheetPr>
  <dimension ref="A1:P80"/>
  <sheetViews>
    <sheetView showGridLines="0" showRowColHeaders="0" zoomScale="90" zoomScaleNormal="90" workbookViewId="0">
      <pane ySplit="1" topLeftCell="A65" activePane="bottomLeft" state="frozen"/>
      <selection pane="bottomLeft" activeCell="L81" sqref="L81"/>
    </sheetView>
  </sheetViews>
  <sheetFormatPr baseColWidth="10" defaultColWidth="11.453125" defaultRowHeight="14.5" x14ac:dyDescent="0.35"/>
  <cols>
    <col min="1" max="1" width="17.26953125" customWidth="1"/>
    <col min="3" max="3" width="11.1796875" bestFit="1" customWidth="1"/>
    <col min="15" max="15" width="13" customWidth="1"/>
    <col min="16" max="16" width="11.1796875" customWidth="1"/>
  </cols>
  <sheetData>
    <row r="1" spans="1:16" ht="23.5" thickBot="1" x14ac:dyDescent="0.4">
      <c r="B1" s="112" t="s">
        <v>85</v>
      </c>
      <c r="C1" s="112" t="s">
        <v>87</v>
      </c>
      <c r="D1" s="112" t="s">
        <v>89</v>
      </c>
      <c r="E1" s="112" t="s">
        <v>91</v>
      </c>
      <c r="F1" s="112" t="s">
        <v>93</v>
      </c>
      <c r="G1" s="112" t="s">
        <v>95</v>
      </c>
      <c r="H1" s="112" t="s">
        <v>97</v>
      </c>
      <c r="I1" s="112" t="s">
        <v>99</v>
      </c>
      <c r="J1" s="112" t="s">
        <v>101</v>
      </c>
      <c r="K1" s="112" t="s">
        <v>103</v>
      </c>
      <c r="L1" s="112" t="s">
        <v>105</v>
      </c>
      <c r="M1" s="112" t="s">
        <v>107</v>
      </c>
      <c r="N1" s="112" t="s">
        <v>28</v>
      </c>
      <c r="O1" s="135" t="s">
        <v>118</v>
      </c>
      <c r="P1" s="135" t="s">
        <v>119</v>
      </c>
    </row>
    <row r="2" spans="1:16" ht="16" thickTop="1" thickBot="1" x14ac:dyDescent="0.45">
      <c r="A2" s="132" t="s">
        <v>120</v>
      </c>
      <c r="B2" s="133">
        <v>0</v>
      </c>
      <c r="C2" s="133">
        <v>0</v>
      </c>
      <c r="D2" s="133">
        <v>0</v>
      </c>
      <c r="E2" s="133">
        <v>0</v>
      </c>
      <c r="F2" s="133">
        <v>0</v>
      </c>
      <c r="G2" s="133">
        <v>0</v>
      </c>
      <c r="H2" s="133">
        <v>4.9749266758416884</v>
      </c>
      <c r="I2" s="133">
        <v>3.5140172710014315</v>
      </c>
      <c r="J2" s="133">
        <v>3.6260025574019772</v>
      </c>
      <c r="K2" s="133">
        <v>0</v>
      </c>
      <c r="L2" s="133">
        <v>0</v>
      </c>
      <c r="M2" s="133">
        <v>0</v>
      </c>
      <c r="N2" s="133">
        <v>0</v>
      </c>
      <c r="O2" s="134">
        <v>3000</v>
      </c>
      <c r="P2" s="136">
        <v>0</v>
      </c>
    </row>
    <row r="3" spans="1:16" ht="16" thickTop="1" thickBot="1" x14ac:dyDescent="0.45">
      <c r="A3" s="132">
        <v>43861</v>
      </c>
      <c r="B3" s="133">
        <v>0</v>
      </c>
      <c r="C3" s="133">
        <v>0</v>
      </c>
      <c r="D3" s="133">
        <v>0</v>
      </c>
      <c r="E3" s="133">
        <v>0</v>
      </c>
      <c r="F3" s="133">
        <v>0</v>
      </c>
      <c r="G3" s="133">
        <v>0</v>
      </c>
      <c r="H3" s="133">
        <v>4.8071066013308137</v>
      </c>
      <c r="I3" s="133">
        <v>3.5508130034940599</v>
      </c>
      <c r="J3" s="133">
        <v>3.7176540462873189</v>
      </c>
      <c r="K3" s="133">
        <v>0</v>
      </c>
      <c r="L3" s="133">
        <v>0</v>
      </c>
      <c r="M3" s="133">
        <v>0</v>
      </c>
      <c r="N3" s="133">
        <v>0</v>
      </c>
      <c r="O3" s="134">
        <v>3152.9726897061128</v>
      </c>
      <c r="P3" s="136">
        <f>LN(O3/$O2)</f>
        <v>4.9733430171958221E-2</v>
      </c>
    </row>
    <row r="4" spans="1:16" ht="16" thickTop="1" thickBot="1" x14ac:dyDescent="0.45">
      <c r="A4" s="132">
        <v>43889</v>
      </c>
      <c r="B4" s="133">
        <v>0</v>
      </c>
      <c r="C4" s="133">
        <v>0</v>
      </c>
      <c r="D4" s="133">
        <v>0</v>
      </c>
      <c r="E4" s="133">
        <v>0</v>
      </c>
      <c r="F4" s="133">
        <v>0</v>
      </c>
      <c r="G4" s="133">
        <v>0</v>
      </c>
      <c r="H4" s="133">
        <v>4.7074304160422518</v>
      </c>
      <c r="I4" s="133">
        <v>3.5544589028110747</v>
      </c>
      <c r="J4" s="133">
        <v>3.794345681968526</v>
      </c>
      <c r="K4" s="133">
        <v>0</v>
      </c>
      <c r="L4" s="133">
        <v>0</v>
      </c>
      <c r="M4" s="133">
        <v>0</v>
      </c>
      <c r="N4" s="133">
        <v>0</v>
      </c>
      <c r="O4" s="134">
        <v>2900.5664490641702</v>
      </c>
      <c r="P4" s="136">
        <f t="shared" ref="P4:P66" si="0">LN(O4/$O3)</f>
        <v>-8.3439673658018756E-2</v>
      </c>
    </row>
    <row r="5" spans="1:16" ht="16" thickTop="1" thickBot="1" x14ac:dyDescent="0.45">
      <c r="A5" s="132">
        <v>43917</v>
      </c>
      <c r="B5" s="133">
        <v>0</v>
      </c>
      <c r="C5" s="133">
        <v>0</v>
      </c>
      <c r="D5" s="133">
        <v>0</v>
      </c>
      <c r="E5" s="133">
        <v>0</v>
      </c>
      <c r="F5" s="133">
        <v>0</v>
      </c>
      <c r="G5" s="133">
        <v>0</v>
      </c>
      <c r="H5" s="133">
        <v>3.4078880361003034</v>
      </c>
      <c r="I5" s="133">
        <v>2.7037318482180979</v>
      </c>
      <c r="J5" s="133">
        <v>2.9100576938512162</v>
      </c>
      <c r="K5" s="133">
        <v>1.6086654796430788</v>
      </c>
      <c r="L5" s="133">
        <v>1.8591749797585133</v>
      </c>
      <c r="M5" s="133">
        <v>3.5360349116145824</v>
      </c>
      <c r="N5" s="133">
        <v>0</v>
      </c>
      <c r="O5" s="134">
        <v>2520.8848841893619</v>
      </c>
      <c r="P5" s="136">
        <f t="shared" si="0"/>
        <v>-0.14029606077593743</v>
      </c>
    </row>
    <row r="6" spans="1:16" ht="16" thickTop="1" thickBot="1" x14ac:dyDescent="0.45">
      <c r="A6" s="132">
        <v>43952</v>
      </c>
      <c r="B6" s="133">
        <v>0</v>
      </c>
      <c r="C6" s="133">
        <v>0</v>
      </c>
      <c r="D6" s="133">
        <v>0</v>
      </c>
      <c r="E6" s="133">
        <v>0</v>
      </c>
      <c r="F6" s="133">
        <v>0</v>
      </c>
      <c r="G6" s="133">
        <v>0</v>
      </c>
      <c r="H6" s="133">
        <v>4.1920500296789482</v>
      </c>
      <c r="I6" s="133">
        <v>3.4221638490410853</v>
      </c>
      <c r="J6" s="133">
        <v>3.7472464636581546</v>
      </c>
      <c r="K6" s="133">
        <v>0</v>
      </c>
      <c r="L6" s="133">
        <v>0</v>
      </c>
      <c r="M6" s="133">
        <v>0</v>
      </c>
      <c r="N6" s="133">
        <v>0</v>
      </c>
      <c r="O6" s="134">
        <v>2670.1100189865806</v>
      </c>
      <c r="P6" s="136">
        <f t="shared" si="0"/>
        <v>5.7509692770070071E-2</v>
      </c>
    </row>
    <row r="7" spans="1:16" ht="16" thickTop="1" thickBot="1" x14ac:dyDescent="0.45">
      <c r="A7" s="132">
        <v>43980</v>
      </c>
      <c r="B7" s="133">
        <v>0</v>
      </c>
      <c r="C7" s="133">
        <v>0</v>
      </c>
      <c r="D7" s="133">
        <v>0</v>
      </c>
      <c r="E7" s="133">
        <v>0</v>
      </c>
      <c r="F7" s="133">
        <v>0</v>
      </c>
      <c r="G7" s="133">
        <v>0</v>
      </c>
      <c r="H7" s="133">
        <v>3.1006507044840528</v>
      </c>
      <c r="I7" s="133">
        <v>2.5787362984151256</v>
      </c>
      <c r="J7" s="133">
        <v>2.8369243718917962</v>
      </c>
      <c r="K7" s="133">
        <v>2.3704106479635891</v>
      </c>
      <c r="L7" s="133">
        <v>2.6160483531041998</v>
      </c>
      <c r="M7" s="133">
        <v>4.8905261090508683</v>
      </c>
      <c r="N7" s="133">
        <v>0</v>
      </c>
      <c r="O7" s="134">
        <v>2888.4944123388641</v>
      </c>
      <c r="P7" s="136">
        <f t="shared" si="0"/>
        <v>7.8615724610330326E-2</v>
      </c>
    </row>
    <row r="8" spans="1:16" ht="16" thickTop="1" thickBot="1" x14ac:dyDescent="0.45">
      <c r="A8" s="132">
        <v>44008</v>
      </c>
      <c r="B8" s="133">
        <v>0</v>
      </c>
      <c r="C8" s="133">
        <v>0</v>
      </c>
      <c r="D8" s="133">
        <v>0</v>
      </c>
      <c r="E8" s="133">
        <v>0</v>
      </c>
      <c r="F8" s="133">
        <v>0</v>
      </c>
      <c r="G8" s="133">
        <v>0</v>
      </c>
      <c r="H8" s="133">
        <v>4.0097677496426058</v>
      </c>
      <c r="I8" s="133">
        <v>3.4655644078549361</v>
      </c>
      <c r="J8" s="133">
        <v>3.8355399136007486</v>
      </c>
      <c r="K8" s="133">
        <v>0</v>
      </c>
      <c r="L8" s="133">
        <v>0</v>
      </c>
      <c r="M8" s="133">
        <v>0</v>
      </c>
      <c r="N8" s="133">
        <v>0</v>
      </c>
      <c r="O8" s="134">
        <v>2883.9114183050378</v>
      </c>
      <c r="P8" s="136">
        <f t="shared" si="0"/>
        <v>-1.5878977089473403E-3</v>
      </c>
    </row>
    <row r="9" spans="1:16" ht="16" thickTop="1" thickBot="1" x14ac:dyDescent="0.45">
      <c r="A9" s="132">
        <v>44043</v>
      </c>
      <c r="B9" s="133">
        <v>0</v>
      </c>
      <c r="C9" s="133">
        <v>0</v>
      </c>
      <c r="D9" s="133">
        <v>0</v>
      </c>
      <c r="E9" s="133">
        <v>24.563387027340287</v>
      </c>
      <c r="F9" s="133">
        <v>29.74543044560836</v>
      </c>
      <c r="G9" s="133">
        <v>24.553512216965061</v>
      </c>
      <c r="H9" s="133">
        <v>0</v>
      </c>
      <c r="I9" s="133">
        <v>0</v>
      </c>
      <c r="J9" s="133">
        <v>0</v>
      </c>
      <c r="K9" s="133">
        <v>0</v>
      </c>
      <c r="L9" s="133">
        <v>0</v>
      </c>
      <c r="M9" s="133">
        <v>0</v>
      </c>
      <c r="N9" s="133">
        <v>0</v>
      </c>
      <c r="O9" s="134">
        <v>3119.6971039606888</v>
      </c>
      <c r="P9" s="136">
        <f t="shared" si="0"/>
        <v>7.8588410967175962E-2</v>
      </c>
    </row>
    <row r="10" spans="1:16" ht="16" thickTop="1" thickBot="1" x14ac:dyDescent="0.45">
      <c r="A10" s="132">
        <v>44071</v>
      </c>
      <c r="B10" s="133">
        <v>31.161108783422488</v>
      </c>
      <c r="C10" s="133">
        <v>20.176679793134237</v>
      </c>
      <c r="D10" s="133">
        <v>28.387628469357914</v>
      </c>
      <c r="E10" s="133">
        <v>0</v>
      </c>
      <c r="F10" s="133">
        <v>0</v>
      </c>
      <c r="G10" s="133">
        <v>0</v>
      </c>
      <c r="H10" s="133">
        <v>0</v>
      </c>
      <c r="I10" s="133">
        <v>0</v>
      </c>
      <c r="J10" s="133">
        <v>0</v>
      </c>
      <c r="K10" s="133">
        <v>0</v>
      </c>
      <c r="L10" s="133">
        <v>0</v>
      </c>
      <c r="M10" s="133">
        <v>0</v>
      </c>
      <c r="N10" s="133">
        <v>0</v>
      </c>
      <c r="O10" s="134">
        <v>3678.4570923990314</v>
      </c>
      <c r="P10" s="136">
        <f t="shared" si="0"/>
        <v>0.16475748084871261</v>
      </c>
    </row>
    <row r="11" spans="1:16" ht="16" thickTop="1" thickBot="1" x14ac:dyDescent="0.45">
      <c r="A11" s="132">
        <v>44106</v>
      </c>
      <c r="B11" s="133">
        <v>33.227960701028032</v>
      </c>
      <c r="C11" s="133">
        <v>19.956129492952563</v>
      </c>
      <c r="D11" s="133">
        <v>27.001448985174104</v>
      </c>
      <c r="E11" s="133">
        <v>0</v>
      </c>
      <c r="F11" s="133">
        <v>0</v>
      </c>
      <c r="G11" s="133">
        <v>0</v>
      </c>
      <c r="H11" s="133">
        <v>0</v>
      </c>
      <c r="I11" s="133">
        <v>0</v>
      </c>
      <c r="J11" s="133">
        <v>0</v>
      </c>
      <c r="K11" s="133">
        <v>0</v>
      </c>
      <c r="L11" s="133">
        <v>0</v>
      </c>
      <c r="M11" s="133">
        <v>0</v>
      </c>
      <c r="N11" s="133">
        <v>0</v>
      </c>
      <c r="O11" s="134">
        <v>3127.0595886858619</v>
      </c>
      <c r="P11" s="136">
        <f t="shared" si="0"/>
        <v>-0.16240026141579744</v>
      </c>
    </row>
    <row r="12" spans="1:16" ht="16" thickTop="1" thickBot="1" x14ac:dyDescent="0.45">
      <c r="A12" s="132">
        <v>44134</v>
      </c>
      <c r="B12" s="133">
        <v>32.318375950862119</v>
      </c>
      <c r="C12" s="133">
        <v>19.653243428606093</v>
      </c>
      <c r="D12" s="133">
        <v>28.233577261916782</v>
      </c>
      <c r="E12" s="133">
        <v>0</v>
      </c>
      <c r="F12" s="133">
        <v>0</v>
      </c>
      <c r="G12" s="133">
        <v>0</v>
      </c>
      <c r="H12" s="133">
        <v>0</v>
      </c>
      <c r="I12" s="133">
        <v>0</v>
      </c>
      <c r="J12" s="133">
        <v>0</v>
      </c>
      <c r="K12" s="133">
        <v>0</v>
      </c>
      <c r="L12" s="133">
        <v>0</v>
      </c>
      <c r="M12" s="133">
        <v>0</v>
      </c>
      <c r="N12" s="133">
        <v>0</v>
      </c>
      <c r="O12" s="134">
        <v>2841.1625425156435</v>
      </c>
      <c r="P12" s="136">
        <f t="shared" si="0"/>
        <v>-9.5879820107527644E-2</v>
      </c>
    </row>
    <row r="13" spans="1:16" ht="16" thickTop="1" thickBot="1" x14ac:dyDescent="0.45">
      <c r="A13" s="132">
        <v>44162</v>
      </c>
      <c r="B13" s="133">
        <v>33.33335655268457</v>
      </c>
      <c r="C13" s="133">
        <v>19.796329604674902</v>
      </c>
      <c r="D13" s="133">
        <v>27.206039146757909</v>
      </c>
      <c r="E13" s="133">
        <v>0</v>
      </c>
      <c r="F13" s="133">
        <v>0</v>
      </c>
      <c r="G13" s="133">
        <v>0</v>
      </c>
      <c r="H13" s="133">
        <v>0</v>
      </c>
      <c r="I13" s="133">
        <v>0</v>
      </c>
      <c r="J13" s="133">
        <v>0</v>
      </c>
      <c r="K13" s="133">
        <v>0</v>
      </c>
      <c r="L13" s="133">
        <v>0</v>
      </c>
      <c r="M13" s="133">
        <v>0</v>
      </c>
      <c r="N13" s="133">
        <v>0</v>
      </c>
      <c r="O13" s="134">
        <v>3922.4080894036451</v>
      </c>
      <c r="P13" s="136">
        <f t="shared" si="0"/>
        <v>0.32249245934334075</v>
      </c>
    </row>
    <row r="14" spans="1:16" ht="16" thickTop="1" thickBot="1" x14ac:dyDescent="0.45">
      <c r="A14" s="132">
        <v>44225</v>
      </c>
      <c r="B14" s="133">
        <v>30.948795751848298</v>
      </c>
      <c r="C14" s="133">
        <v>20.074461324492489</v>
      </c>
      <c r="D14" s="133">
        <v>29.048434829327828</v>
      </c>
      <c r="E14" s="133">
        <v>0</v>
      </c>
      <c r="F14" s="133">
        <v>0</v>
      </c>
      <c r="G14" s="133">
        <v>0</v>
      </c>
      <c r="H14" s="133">
        <v>0</v>
      </c>
      <c r="I14" s="133">
        <v>0</v>
      </c>
      <c r="J14" s="133">
        <v>0</v>
      </c>
      <c r="K14" s="133">
        <v>0</v>
      </c>
      <c r="L14" s="133">
        <v>0</v>
      </c>
      <c r="M14" s="133">
        <v>0</v>
      </c>
      <c r="N14" s="133">
        <v>0</v>
      </c>
      <c r="O14" s="134">
        <v>4191.5233374985137</v>
      </c>
      <c r="P14" s="136">
        <f t="shared" si="0"/>
        <v>6.6358459182269139E-2</v>
      </c>
    </row>
    <row r="15" spans="1:16" ht="16" thickTop="1" thickBot="1" x14ac:dyDescent="0.45">
      <c r="A15" s="132">
        <v>44253</v>
      </c>
      <c r="B15" s="133">
        <v>0</v>
      </c>
      <c r="C15" s="133">
        <v>0</v>
      </c>
      <c r="D15" s="133">
        <v>0</v>
      </c>
      <c r="E15" s="133">
        <v>25.800551206915671</v>
      </c>
      <c r="F15" s="133">
        <v>31.354126113546474</v>
      </c>
      <c r="G15" s="133">
        <v>25.474210408738518</v>
      </c>
      <c r="H15" s="133">
        <v>0</v>
      </c>
      <c r="I15" s="133">
        <v>0</v>
      </c>
      <c r="J15" s="133">
        <v>0</v>
      </c>
      <c r="K15" s="133">
        <v>0</v>
      </c>
      <c r="L15" s="133">
        <v>0</v>
      </c>
      <c r="M15" s="133">
        <v>0</v>
      </c>
      <c r="N15" s="133">
        <v>0</v>
      </c>
      <c r="O15" s="134">
        <v>4423.9448485946568</v>
      </c>
      <c r="P15" s="136">
        <f t="shared" si="0"/>
        <v>5.3967564834893421E-2</v>
      </c>
    </row>
    <row r="16" spans="1:16" ht="16" thickTop="1" thickBot="1" x14ac:dyDescent="0.45">
      <c r="A16" s="132">
        <v>44316</v>
      </c>
      <c r="B16" s="133">
        <v>32.458354595783959</v>
      </c>
      <c r="C16" s="133">
        <v>17.64588764583149</v>
      </c>
      <c r="D16" s="133">
        <v>25.155264259016246</v>
      </c>
      <c r="E16" s="133">
        <v>0</v>
      </c>
      <c r="F16" s="133">
        <v>0</v>
      </c>
      <c r="G16" s="133">
        <v>0</v>
      </c>
      <c r="H16" s="133">
        <v>0</v>
      </c>
      <c r="I16" s="133">
        <v>0</v>
      </c>
      <c r="J16" s="133">
        <v>0</v>
      </c>
      <c r="K16" s="133">
        <v>0</v>
      </c>
      <c r="L16" s="133">
        <v>0</v>
      </c>
      <c r="M16" s="133">
        <v>0</v>
      </c>
      <c r="N16" s="133">
        <v>0</v>
      </c>
      <c r="O16" s="134">
        <v>5231.2373871978225</v>
      </c>
      <c r="P16" s="136">
        <f t="shared" si="0"/>
        <v>0.16761604647270981</v>
      </c>
    </row>
    <row r="17" spans="1:16" ht="16" thickTop="1" thickBot="1" x14ac:dyDescent="0.45">
      <c r="A17" s="132">
        <v>44344</v>
      </c>
      <c r="B17" s="133">
        <v>34.382177463024242</v>
      </c>
      <c r="C17" s="133">
        <v>17.574745985680167</v>
      </c>
      <c r="D17" s="133">
        <v>23.910162736072358</v>
      </c>
      <c r="E17" s="133">
        <v>0</v>
      </c>
      <c r="F17" s="133">
        <v>0</v>
      </c>
      <c r="G17" s="133">
        <v>0</v>
      </c>
      <c r="H17" s="133">
        <v>0</v>
      </c>
      <c r="I17" s="133">
        <v>0</v>
      </c>
      <c r="J17" s="133">
        <v>0</v>
      </c>
      <c r="K17" s="133">
        <v>0</v>
      </c>
      <c r="L17" s="133">
        <v>0</v>
      </c>
      <c r="M17" s="133">
        <v>0</v>
      </c>
      <c r="N17" s="133">
        <v>0</v>
      </c>
      <c r="O17" s="134">
        <v>5280.3405090125189</v>
      </c>
      <c r="P17" s="136">
        <f t="shared" si="0"/>
        <v>9.3427417786962653E-3</v>
      </c>
    </row>
    <row r="18" spans="1:16" ht="16" thickTop="1" thickBot="1" x14ac:dyDescent="0.45">
      <c r="A18" s="132">
        <v>44379</v>
      </c>
      <c r="B18" s="133">
        <v>31.194898071180138</v>
      </c>
      <c r="C18" s="133">
        <v>17.788329045345812</v>
      </c>
      <c r="D18" s="133">
        <v>26.28856848982182</v>
      </c>
      <c r="E18" s="133">
        <v>0</v>
      </c>
      <c r="F18" s="133">
        <v>0</v>
      </c>
      <c r="G18" s="133">
        <v>0</v>
      </c>
      <c r="H18" s="133">
        <v>0</v>
      </c>
      <c r="I18" s="133">
        <v>0</v>
      </c>
      <c r="J18" s="133">
        <v>0</v>
      </c>
      <c r="K18" s="133">
        <v>0</v>
      </c>
      <c r="L18" s="133">
        <v>0</v>
      </c>
      <c r="M18" s="133">
        <v>0</v>
      </c>
      <c r="N18" s="133">
        <v>0</v>
      </c>
      <c r="O18" s="134">
        <v>5917.6909006881087</v>
      </c>
      <c r="P18" s="136">
        <f t="shared" si="0"/>
        <v>0.11395573626492984</v>
      </c>
    </row>
    <row r="19" spans="1:16" ht="16" thickTop="1" thickBot="1" x14ac:dyDescent="0.45">
      <c r="A19" s="132">
        <v>44407</v>
      </c>
      <c r="B19" s="133">
        <v>30.625434538127866</v>
      </c>
      <c r="C19" s="133">
        <v>17.795263119794008</v>
      </c>
      <c r="D19" s="133">
        <v>26.777543697596908</v>
      </c>
      <c r="E19" s="133">
        <v>0</v>
      </c>
      <c r="F19" s="133">
        <v>0</v>
      </c>
      <c r="G19" s="133">
        <v>0</v>
      </c>
      <c r="H19" s="133">
        <v>0</v>
      </c>
      <c r="I19" s="133">
        <v>0</v>
      </c>
      <c r="J19" s="133">
        <v>0</v>
      </c>
      <c r="K19" s="133">
        <v>0</v>
      </c>
      <c r="L19" s="133">
        <v>0</v>
      </c>
      <c r="M19" s="133">
        <v>0</v>
      </c>
      <c r="N19" s="133">
        <v>0</v>
      </c>
      <c r="O19" s="134">
        <v>6085.6592048227976</v>
      </c>
      <c r="P19" s="136">
        <f t="shared" si="0"/>
        <v>2.798873108137102E-2</v>
      </c>
    </row>
    <row r="20" spans="1:16" ht="16" thickTop="1" thickBot="1" x14ac:dyDescent="0.45">
      <c r="A20" s="132">
        <v>44435</v>
      </c>
      <c r="B20" s="133">
        <v>30.069516505882952</v>
      </c>
      <c r="C20" s="133">
        <v>17.693093154308976</v>
      </c>
      <c r="D20" s="133">
        <v>27.444945701687139</v>
      </c>
      <c r="E20" s="133">
        <v>0</v>
      </c>
      <c r="F20" s="133">
        <v>0</v>
      </c>
      <c r="G20" s="133">
        <v>0</v>
      </c>
      <c r="H20" s="133">
        <v>0</v>
      </c>
      <c r="I20" s="133">
        <v>0</v>
      </c>
      <c r="J20" s="133">
        <v>0</v>
      </c>
      <c r="K20" s="133">
        <v>0</v>
      </c>
      <c r="L20" s="133">
        <v>0</v>
      </c>
      <c r="M20" s="133">
        <v>0</v>
      </c>
      <c r="N20" s="133">
        <v>0</v>
      </c>
      <c r="O20" s="134">
        <v>6531.5674079841019</v>
      </c>
      <c r="P20" s="136">
        <f t="shared" si="0"/>
        <v>7.0711893007517429E-2</v>
      </c>
    </row>
    <row r="21" spans="1:16" ht="16" thickTop="1" thickBot="1" x14ac:dyDescent="0.45">
      <c r="A21" s="132">
        <v>44470</v>
      </c>
      <c r="B21" s="133">
        <v>0</v>
      </c>
      <c r="C21" s="133">
        <v>0</v>
      </c>
      <c r="D21" s="133">
        <v>0</v>
      </c>
      <c r="E21" s="133">
        <v>26.427689427823459</v>
      </c>
      <c r="F21" s="133">
        <v>31.687021863050067</v>
      </c>
      <c r="G21" s="133">
        <v>27.1967351004153</v>
      </c>
      <c r="H21" s="133">
        <v>0</v>
      </c>
      <c r="I21" s="133">
        <v>0</v>
      </c>
      <c r="J21" s="133">
        <v>0</v>
      </c>
      <c r="K21" s="133">
        <v>0</v>
      </c>
      <c r="L21" s="133">
        <v>0</v>
      </c>
      <c r="M21" s="133">
        <v>0</v>
      </c>
      <c r="N21" s="133">
        <v>0</v>
      </c>
      <c r="O21" s="134">
        <v>5835.4553751556286</v>
      </c>
      <c r="P21" s="136">
        <f t="shared" si="0"/>
        <v>-0.11269464162778094</v>
      </c>
    </row>
    <row r="22" spans="1:16" ht="16" thickTop="1" thickBot="1" x14ac:dyDescent="0.45">
      <c r="A22" s="132">
        <v>44498</v>
      </c>
      <c r="B22" s="133">
        <v>0</v>
      </c>
      <c r="C22" s="133">
        <v>0</v>
      </c>
      <c r="D22" s="133">
        <v>0</v>
      </c>
      <c r="E22" s="133">
        <v>25.752035317875755</v>
      </c>
      <c r="F22" s="133">
        <v>31.703191566087359</v>
      </c>
      <c r="G22" s="133">
        <v>27.917156198991844</v>
      </c>
      <c r="H22" s="133">
        <v>0</v>
      </c>
      <c r="I22" s="133">
        <v>0</v>
      </c>
      <c r="J22" s="133">
        <v>0</v>
      </c>
      <c r="K22" s="133">
        <v>0</v>
      </c>
      <c r="L22" s="133">
        <v>0</v>
      </c>
      <c r="M22" s="133">
        <v>0</v>
      </c>
      <c r="N22" s="133">
        <v>0</v>
      </c>
      <c r="O22" s="134">
        <v>6518.1948782931404</v>
      </c>
      <c r="P22" s="136">
        <f t="shared" si="0"/>
        <v>0.11064517374042114</v>
      </c>
    </row>
    <row r="23" spans="1:16" ht="16" thickTop="1" thickBot="1" x14ac:dyDescent="0.45">
      <c r="A23" s="132">
        <v>44526</v>
      </c>
      <c r="B23" s="133">
        <v>0</v>
      </c>
      <c r="C23" s="133">
        <v>0</v>
      </c>
      <c r="D23" s="133">
        <v>0</v>
      </c>
      <c r="E23" s="133">
        <v>24.949191650065245</v>
      </c>
      <c r="F23" s="133">
        <v>31.477710720163437</v>
      </c>
      <c r="G23" s="133">
        <v>29.063386224948452</v>
      </c>
      <c r="H23" s="133">
        <v>0</v>
      </c>
      <c r="I23" s="133">
        <v>0</v>
      </c>
      <c r="J23" s="133">
        <v>0</v>
      </c>
      <c r="K23" s="133">
        <v>0</v>
      </c>
      <c r="L23" s="133">
        <v>0</v>
      </c>
      <c r="M23" s="133">
        <v>0</v>
      </c>
      <c r="N23" s="133">
        <v>0</v>
      </c>
      <c r="O23" s="134">
        <v>6457.6573114049388</v>
      </c>
      <c r="P23" s="136">
        <f t="shared" si="0"/>
        <v>-9.3308717190446477E-3</v>
      </c>
    </row>
    <row r="24" spans="1:16" ht="16" thickTop="1" thickBot="1" x14ac:dyDescent="0.45">
      <c r="A24" s="132">
        <v>44561</v>
      </c>
      <c r="B24" s="133">
        <v>0</v>
      </c>
      <c r="C24" s="133">
        <v>0</v>
      </c>
      <c r="D24" s="133">
        <v>0</v>
      </c>
      <c r="E24" s="133">
        <v>0</v>
      </c>
      <c r="F24" s="133">
        <v>0</v>
      </c>
      <c r="G24" s="133">
        <v>0</v>
      </c>
      <c r="H24" s="133">
        <v>5.7504448241947737</v>
      </c>
      <c r="I24" s="133">
        <v>5.2247399640367984</v>
      </c>
      <c r="J24" s="133">
        <v>6.2781149355510193</v>
      </c>
      <c r="K24" s="133">
        <v>0</v>
      </c>
      <c r="L24" s="133">
        <v>0</v>
      </c>
      <c r="M24" s="133">
        <v>0</v>
      </c>
      <c r="N24" s="133">
        <v>0</v>
      </c>
      <c r="O24" s="134">
        <v>6849.7440371371868</v>
      </c>
      <c r="P24" s="136">
        <f t="shared" si="0"/>
        <v>5.8944678005238137E-2</v>
      </c>
    </row>
    <row r="25" spans="1:16" ht="16" thickTop="1" thickBot="1" x14ac:dyDescent="0.45">
      <c r="A25" s="132">
        <v>44589</v>
      </c>
      <c r="B25" s="133">
        <v>0</v>
      </c>
      <c r="C25" s="133">
        <v>0</v>
      </c>
      <c r="D25" s="133">
        <v>0</v>
      </c>
      <c r="E25" s="133">
        <v>0</v>
      </c>
      <c r="F25" s="133">
        <v>0</v>
      </c>
      <c r="G25" s="133">
        <v>0</v>
      </c>
      <c r="H25" s="133">
        <v>6.0047901671470463</v>
      </c>
      <c r="I25" s="133">
        <v>5.1842668516786805</v>
      </c>
      <c r="J25" s="133">
        <v>6.067703006749892</v>
      </c>
      <c r="K25" s="133">
        <v>0</v>
      </c>
      <c r="L25" s="133">
        <v>0</v>
      </c>
      <c r="M25" s="133">
        <v>0</v>
      </c>
      <c r="N25" s="133">
        <v>0</v>
      </c>
      <c r="O25" s="134">
        <v>6324.8057110828431</v>
      </c>
      <c r="P25" s="136">
        <f t="shared" si="0"/>
        <v>-7.9731968208261964E-2</v>
      </c>
    </row>
    <row r="26" spans="1:16" ht="16" thickTop="1" thickBot="1" x14ac:dyDescent="0.45">
      <c r="A26" s="132">
        <v>44617</v>
      </c>
      <c r="B26" s="133">
        <v>0</v>
      </c>
      <c r="C26" s="133">
        <v>0</v>
      </c>
      <c r="D26" s="133">
        <v>0</v>
      </c>
      <c r="E26" s="133">
        <v>0</v>
      </c>
      <c r="F26" s="133">
        <v>0</v>
      </c>
      <c r="G26" s="133">
        <v>0</v>
      </c>
      <c r="H26" s="133">
        <v>6.0165453148713892</v>
      </c>
      <c r="I26" s="133">
        <v>5.1547388406225014</v>
      </c>
      <c r="J26" s="133">
        <v>6.0906565751085573</v>
      </c>
      <c r="K26" s="133">
        <v>0</v>
      </c>
      <c r="L26" s="133">
        <v>0</v>
      </c>
      <c r="M26" s="133">
        <v>0</v>
      </c>
      <c r="N26" s="133">
        <v>0</v>
      </c>
      <c r="O26" s="134">
        <v>6228.5652916866438</v>
      </c>
      <c r="P26" s="136">
        <f t="shared" si="0"/>
        <v>-1.533330050690491E-2</v>
      </c>
    </row>
    <row r="27" spans="1:16" ht="16" thickTop="1" thickBot="1" x14ac:dyDescent="0.45">
      <c r="A27" s="132">
        <v>44652</v>
      </c>
      <c r="B27" s="133">
        <v>0</v>
      </c>
      <c r="C27" s="133">
        <v>0</v>
      </c>
      <c r="D27" s="133">
        <v>0</v>
      </c>
      <c r="E27" s="133">
        <v>0</v>
      </c>
      <c r="F27" s="133">
        <v>0</v>
      </c>
      <c r="G27" s="133">
        <v>0</v>
      </c>
      <c r="H27" s="133">
        <v>4.4601372466029847</v>
      </c>
      <c r="I27" s="133">
        <v>3.8649803603096555</v>
      </c>
      <c r="J27" s="133">
        <v>4.6236275013921011</v>
      </c>
      <c r="K27" s="133">
        <v>9.2993415872936609</v>
      </c>
      <c r="L27" s="133">
        <v>9.5437048046753894</v>
      </c>
      <c r="M27" s="133">
        <v>16.4627436206213</v>
      </c>
      <c r="N27" s="133">
        <v>0</v>
      </c>
      <c r="O27" s="134">
        <v>6442.7173249732823</v>
      </c>
      <c r="P27" s="136">
        <f t="shared" si="0"/>
        <v>3.3804379974662582E-2</v>
      </c>
    </row>
    <row r="28" spans="1:16" ht="16" thickTop="1" thickBot="1" x14ac:dyDescent="0.45">
      <c r="A28" s="132">
        <v>44680</v>
      </c>
      <c r="B28" s="133">
        <v>0</v>
      </c>
      <c r="C28" s="133">
        <v>0</v>
      </c>
      <c r="D28" s="133">
        <v>0</v>
      </c>
      <c r="E28" s="133">
        <v>0</v>
      </c>
      <c r="F28" s="133">
        <v>0</v>
      </c>
      <c r="G28" s="133">
        <v>0</v>
      </c>
      <c r="H28" s="133">
        <v>4.9197771714534868</v>
      </c>
      <c r="I28" s="133">
        <v>4.0573171827245789</v>
      </c>
      <c r="J28" s="133">
        <v>4.6604569603188661</v>
      </c>
      <c r="K28" s="133">
        <v>7.7540638941273192</v>
      </c>
      <c r="L28" s="133">
        <v>8.3306553788007474</v>
      </c>
      <c r="M28" s="133">
        <v>14.945103064892713</v>
      </c>
      <c r="N28" s="133">
        <v>0</v>
      </c>
      <c r="O28" s="134">
        <v>6152.1764429453269</v>
      </c>
      <c r="P28" s="136">
        <f t="shared" si="0"/>
        <v>-4.6144483619332072E-2</v>
      </c>
    </row>
    <row r="29" spans="1:16" ht="16" thickTop="1" thickBot="1" x14ac:dyDescent="0.45">
      <c r="A29" s="132">
        <v>44708</v>
      </c>
      <c r="B29" s="133">
        <v>0</v>
      </c>
      <c r="C29" s="133">
        <v>0</v>
      </c>
      <c r="D29" s="133">
        <v>0</v>
      </c>
      <c r="E29" s="133">
        <v>0</v>
      </c>
      <c r="F29" s="133">
        <v>0</v>
      </c>
      <c r="G29" s="133">
        <v>0</v>
      </c>
      <c r="H29" s="133">
        <v>6.6340572381256626</v>
      </c>
      <c r="I29" s="133">
        <v>5.3547609107593708</v>
      </c>
      <c r="J29" s="133">
        <v>6.1566766201985956</v>
      </c>
      <c r="K29" s="133">
        <v>0</v>
      </c>
      <c r="L29" s="133">
        <v>0</v>
      </c>
      <c r="M29" s="133">
        <v>0</v>
      </c>
      <c r="N29" s="133">
        <v>0</v>
      </c>
      <c r="O29" s="134">
        <v>6139.4824335201019</v>
      </c>
      <c r="P29" s="136">
        <f t="shared" si="0"/>
        <v>-2.0654679837262976E-3</v>
      </c>
    </row>
    <row r="30" spans="1:16" ht="16" thickTop="1" thickBot="1" x14ac:dyDescent="0.45">
      <c r="A30" s="132">
        <v>44743</v>
      </c>
      <c r="B30" s="133">
        <v>0</v>
      </c>
      <c r="C30" s="133">
        <v>0</v>
      </c>
      <c r="D30" s="133">
        <v>0</v>
      </c>
      <c r="E30" s="133">
        <v>0</v>
      </c>
      <c r="F30" s="133">
        <v>0</v>
      </c>
      <c r="G30" s="133">
        <v>0</v>
      </c>
      <c r="H30" s="133">
        <v>5.027217841410299</v>
      </c>
      <c r="I30" s="133">
        <v>4.0351629103359627</v>
      </c>
      <c r="J30" s="133">
        <v>4.5490830702403313</v>
      </c>
      <c r="K30" s="133">
        <v>6.6030215287257157</v>
      </c>
      <c r="L30" s="133">
        <v>7.216179356788202</v>
      </c>
      <c r="M30" s="133">
        <v>13.137146581694978</v>
      </c>
      <c r="N30" s="133">
        <v>0</v>
      </c>
      <c r="O30" s="134">
        <v>5661.9919925910172</v>
      </c>
      <c r="P30" s="136">
        <f t="shared" si="0"/>
        <v>-8.0964671939258201E-2</v>
      </c>
    </row>
    <row r="31" spans="1:16" ht="16" thickTop="1" thickBot="1" x14ac:dyDescent="0.45">
      <c r="A31" s="132">
        <v>44771</v>
      </c>
      <c r="B31" s="133">
        <v>0</v>
      </c>
      <c r="C31" s="133">
        <v>0</v>
      </c>
      <c r="D31" s="133">
        <v>0</v>
      </c>
      <c r="E31" s="133">
        <v>0</v>
      </c>
      <c r="F31" s="133">
        <v>0</v>
      </c>
      <c r="G31" s="133">
        <v>0</v>
      </c>
      <c r="H31" s="133">
        <v>6.257878690581161</v>
      </c>
      <c r="I31" s="133">
        <v>5.1960183843380605</v>
      </c>
      <c r="J31" s="133">
        <v>5.9885590770773041</v>
      </c>
      <c r="K31" s="133">
        <v>0</v>
      </c>
      <c r="L31" s="133">
        <v>0</v>
      </c>
      <c r="M31" s="133">
        <v>0</v>
      </c>
      <c r="N31" s="133">
        <v>0</v>
      </c>
      <c r="O31" s="134">
        <v>5910.5100546636186</v>
      </c>
      <c r="P31" s="136">
        <f t="shared" si="0"/>
        <v>4.2956358907777936E-2</v>
      </c>
    </row>
    <row r="32" spans="1:16" ht="16" thickTop="1" thickBot="1" x14ac:dyDescent="0.45">
      <c r="A32" s="132">
        <v>44806</v>
      </c>
      <c r="B32" s="133">
        <v>0</v>
      </c>
      <c r="C32" s="133">
        <v>0</v>
      </c>
      <c r="D32" s="133">
        <v>0</v>
      </c>
      <c r="E32" s="133">
        <v>41.492577815600669</v>
      </c>
      <c r="F32" s="133">
        <v>38.916123190211337</v>
      </c>
      <c r="G32" s="133">
        <v>31.904029772731235</v>
      </c>
      <c r="H32" s="133">
        <v>0</v>
      </c>
      <c r="I32" s="133">
        <v>0</v>
      </c>
      <c r="J32" s="133">
        <v>0</v>
      </c>
      <c r="K32" s="133">
        <v>0</v>
      </c>
      <c r="L32" s="133">
        <v>0</v>
      </c>
      <c r="M32" s="133">
        <v>0</v>
      </c>
      <c r="N32" s="133">
        <v>0</v>
      </c>
      <c r="O32" s="134">
        <v>5599.0133816963835</v>
      </c>
      <c r="P32" s="136">
        <f t="shared" si="0"/>
        <v>-5.4141730980318159E-2</v>
      </c>
    </row>
    <row r="33" spans="1:16" ht="16" thickTop="1" thickBot="1" x14ac:dyDescent="0.45">
      <c r="A33" s="132">
        <v>44834</v>
      </c>
      <c r="B33" s="133">
        <v>0</v>
      </c>
      <c r="C33" s="133">
        <v>0</v>
      </c>
      <c r="D33" s="133">
        <v>0</v>
      </c>
      <c r="E33" s="133">
        <v>42.131932553421599</v>
      </c>
      <c r="F33" s="133">
        <v>38.769692159429795</v>
      </c>
      <c r="G33" s="133">
        <v>31.543060825993731</v>
      </c>
      <c r="H33" s="133">
        <v>0</v>
      </c>
      <c r="I33" s="133">
        <v>0</v>
      </c>
      <c r="J33" s="133">
        <v>0</v>
      </c>
      <c r="K33" s="133">
        <v>0</v>
      </c>
      <c r="L33" s="133">
        <v>0</v>
      </c>
      <c r="M33" s="133">
        <v>0</v>
      </c>
      <c r="N33" s="133">
        <v>0</v>
      </c>
      <c r="O33" s="134">
        <v>4624.4210807772843</v>
      </c>
      <c r="P33" s="136">
        <f t="shared" si="0"/>
        <v>-0.19123920897340441</v>
      </c>
    </row>
    <row r="34" spans="1:16" ht="16" thickTop="1" thickBot="1" x14ac:dyDescent="0.45">
      <c r="A34" s="132">
        <v>44862</v>
      </c>
      <c r="B34" s="133">
        <v>0</v>
      </c>
      <c r="C34" s="133">
        <v>0</v>
      </c>
      <c r="D34" s="133">
        <v>0</v>
      </c>
      <c r="E34" s="133">
        <v>0</v>
      </c>
      <c r="F34" s="133">
        <v>0</v>
      </c>
      <c r="G34" s="133">
        <v>0</v>
      </c>
      <c r="H34" s="133">
        <v>6.5272421166153638</v>
      </c>
      <c r="I34" s="133">
        <v>5.1208663871880065</v>
      </c>
      <c r="J34" s="133">
        <v>5.5697100530953421</v>
      </c>
      <c r="K34" s="133">
        <v>0</v>
      </c>
      <c r="L34" s="133">
        <v>0</v>
      </c>
      <c r="M34" s="133">
        <v>0</v>
      </c>
      <c r="N34" s="133">
        <v>0</v>
      </c>
      <c r="O34" s="134">
        <v>5495.7815449173577</v>
      </c>
      <c r="P34" s="136">
        <f t="shared" si="0"/>
        <v>0.17262961471056965</v>
      </c>
    </row>
    <row r="35" spans="1:16" ht="16" thickTop="1" thickBot="1" x14ac:dyDescent="0.45">
      <c r="A35" s="132">
        <v>44897</v>
      </c>
      <c r="B35" s="133">
        <v>0</v>
      </c>
      <c r="C35" s="133">
        <v>0</v>
      </c>
      <c r="D35" s="133">
        <v>0</v>
      </c>
      <c r="E35" s="133">
        <v>0</v>
      </c>
      <c r="F35" s="133">
        <v>0</v>
      </c>
      <c r="G35" s="133">
        <v>0</v>
      </c>
      <c r="H35" s="133">
        <v>6.5588108707211585</v>
      </c>
      <c r="I35" s="133">
        <v>5.1150673522625869</v>
      </c>
      <c r="J35" s="133">
        <v>5.549211707193038</v>
      </c>
      <c r="K35" s="133">
        <v>0</v>
      </c>
      <c r="L35" s="133">
        <v>0</v>
      </c>
      <c r="M35" s="133">
        <v>0</v>
      </c>
      <c r="N35" s="133">
        <v>0</v>
      </c>
      <c r="O35" s="134">
        <v>5744.8504196582799</v>
      </c>
      <c r="P35" s="136">
        <f t="shared" si="0"/>
        <v>4.4323068232260558E-2</v>
      </c>
    </row>
    <row r="36" spans="1:16" ht="16" thickTop="1" thickBot="1" x14ac:dyDescent="0.45">
      <c r="A36" s="132">
        <v>44925</v>
      </c>
      <c r="B36" s="133">
        <v>0</v>
      </c>
      <c r="C36" s="133">
        <v>0</v>
      </c>
      <c r="D36" s="133">
        <v>0</v>
      </c>
      <c r="E36" s="133">
        <v>51.303200639797709</v>
      </c>
      <c r="F36" s="133">
        <v>40.321303453079622</v>
      </c>
      <c r="G36" s="133">
        <v>28.057012199185667</v>
      </c>
      <c r="H36" s="133">
        <v>0</v>
      </c>
      <c r="I36" s="133">
        <v>0</v>
      </c>
      <c r="J36" s="133">
        <v>0</v>
      </c>
      <c r="K36" s="133">
        <v>0</v>
      </c>
      <c r="L36" s="133">
        <v>0</v>
      </c>
      <c r="M36" s="133">
        <v>0</v>
      </c>
      <c r="N36" s="133">
        <v>0</v>
      </c>
      <c r="O36" s="134">
        <v>5382.2281358921991</v>
      </c>
      <c r="P36" s="136">
        <f t="shared" si="0"/>
        <v>-6.5201434259360647E-2</v>
      </c>
    </row>
    <row r="37" spans="1:16" ht="16" thickTop="1" thickBot="1" x14ac:dyDescent="0.45">
      <c r="A37" s="132">
        <v>44953</v>
      </c>
      <c r="B37" s="133">
        <v>87.097161209096186</v>
      </c>
      <c r="C37" s="133">
        <v>27.698838098191175</v>
      </c>
      <c r="D37" s="133">
        <v>33.519077558357402</v>
      </c>
      <c r="E37" s="133">
        <v>0</v>
      </c>
      <c r="F37" s="133">
        <v>0</v>
      </c>
      <c r="G37" s="133">
        <v>0</v>
      </c>
      <c r="H37" s="133">
        <v>0</v>
      </c>
      <c r="I37" s="133">
        <v>0</v>
      </c>
      <c r="J37" s="133">
        <v>0</v>
      </c>
      <c r="K37" s="133">
        <v>0</v>
      </c>
      <c r="L37" s="133">
        <v>0</v>
      </c>
      <c r="M37" s="133">
        <v>0</v>
      </c>
      <c r="N37" s="133">
        <v>0</v>
      </c>
      <c r="O37" s="134">
        <v>6083.7627675545746</v>
      </c>
      <c r="P37" s="136">
        <f t="shared" si="0"/>
        <v>0.12252094070628379</v>
      </c>
    </row>
    <row r="38" spans="1:16" ht="16" thickTop="1" thickBot="1" x14ac:dyDescent="0.45">
      <c r="A38" s="132">
        <v>44981</v>
      </c>
      <c r="B38" s="133">
        <v>85.487053108386874</v>
      </c>
      <c r="C38" s="133">
        <v>27.599004568341016</v>
      </c>
      <c r="D38" s="133">
        <v>34.29091016167218</v>
      </c>
      <c r="E38" s="133">
        <v>0</v>
      </c>
      <c r="F38" s="133">
        <v>0</v>
      </c>
      <c r="G38" s="133">
        <v>0</v>
      </c>
      <c r="H38" s="133">
        <v>0</v>
      </c>
      <c r="I38" s="133">
        <v>0</v>
      </c>
      <c r="J38" s="133">
        <v>0</v>
      </c>
      <c r="K38" s="133">
        <v>0</v>
      </c>
      <c r="L38" s="133">
        <v>0</v>
      </c>
      <c r="M38" s="133">
        <v>0</v>
      </c>
      <c r="N38" s="133">
        <v>0</v>
      </c>
      <c r="O38" s="134">
        <v>5572.0155248576339</v>
      </c>
      <c r="P38" s="136">
        <f t="shared" si="0"/>
        <v>-8.7866538654857912E-2</v>
      </c>
    </row>
    <row r="39" spans="1:16" ht="16" thickTop="1" thickBot="1" x14ac:dyDescent="0.45">
      <c r="A39" s="132">
        <v>45016</v>
      </c>
      <c r="B39" s="133">
        <v>74.936307191323863</v>
      </c>
      <c r="C39" s="133">
        <v>28.8515937446994</v>
      </c>
      <c r="D39" s="133">
        <v>38.008274852203819</v>
      </c>
      <c r="E39" s="133">
        <v>0</v>
      </c>
      <c r="F39" s="133">
        <v>0</v>
      </c>
      <c r="G39" s="133">
        <v>0</v>
      </c>
      <c r="H39" s="133">
        <v>0</v>
      </c>
      <c r="I39" s="133">
        <v>0</v>
      </c>
      <c r="J39" s="133">
        <v>0</v>
      </c>
      <c r="K39" s="133">
        <v>0</v>
      </c>
      <c r="L39" s="133">
        <v>0</v>
      </c>
      <c r="M39" s="133">
        <v>0</v>
      </c>
      <c r="N39" s="133">
        <v>0</v>
      </c>
      <c r="O39" s="134">
        <v>6340.4193364621915</v>
      </c>
      <c r="P39" s="136">
        <f t="shared" si="0"/>
        <v>0.12918806551889131</v>
      </c>
    </row>
    <row r="40" spans="1:16" ht="16" thickTop="1" thickBot="1" x14ac:dyDescent="0.45">
      <c r="A40" s="132">
        <v>45044</v>
      </c>
      <c r="B40" s="133">
        <v>77.538738191291927</v>
      </c>
      <c r="C40" s="133">
        <v>28.784908176685526</v>
      </c>
      <c r="D40" s="133">
        <v>36.85303955926166</v>
      </c>
      <c r="E40" s="133">
        <v>0</v>
      </c>
      <c r="F40" s="133">
        <v>0</v>
      </c>
      <c r="G40" s="133">
        <v>0</v>
      </c>
      <c r="H40" s="133">
        <v>0</v>
      </c>
      <c r="I40" s="133">
        <v>0</v>
      </c>
      <c r="J40" s="133">
        <v>0</v>
      </c>
      <c r="K40" s="133">
        <v>0</v>
      </c>
      <c r="L40" s="133">
        <v>0</v>
      </c>
      <c r="M40" s="133">
        <v>0</v>
      </c>
      <c r="N40" s="133">
        <v>0</v>
      </c>
      <c r="O40" s="134">
        <v>6558.2914787544814</v>
      </c>
      <c r="P40" s="136">
        <f t="shared" si="0"/>
        <v>3.3785216062699928E-2</v>
      </c>
    </row>
    <row r="41" spans="1:16" ht="16" thickTop="1" thickBot="1" x14ac:dyDescent="0.45">
      <c r="A41" s="132">
        <v>45079</v>
      </c>
      <c r="B41" s="133">
        <v>66.228580423806974</v>
      </c>
      <c r="C41" s="133">
        <v>29.922896050142434</v>
      </c>
      <c r="D41" s="133">
        <v>42.518980257053336</v>
      </c>
      <c r="E41" s="133">
        <v>0</v>
      </c>
      <c r="F41" s="133">
        <v>0</v>
      </c>
      <c r="G41" s="133">
        <v>0</v>
      </c>
      <c r="H41" s="133">
        <v>0</v>
      </c>
      <c r="I41" s="133">
        <v>0</v>
      </c>
      <c r="J41" s="133">
        <v>0</v>
      </c>
      <c r="K41" s="133">
        <v>0</v>
      </c>
      <c r="L41" s="133">
        <v>0</v>
      </c>
      <c r="M41" s="133">
        <v>0</v>
      </c>
      <c r="N41" s="133">
        <v>0</v>
      </c>
      <c r="O41" s="134">
        <v>7301.0069191413595</v>
      </c>
      <c r="P41" s="136">
        <f t="shared" si="0"/>
        <v>0.10728214904885086</v>
      </c>
    </row>
    <row r="42" spans="1:16" ht="16" thickTop="1" thickBot="1" x14ac:dyDescent="0.45">
      <c r="A42" s="132">
        <v>45107</v>
      </c>
      <c r="B42" s="133">
        <v>64.722206842421741</v>
      </c>
      <c r="C42" s="133">
        <v>29.402816629000753</v>
      </c>
      <c r="D42" s="133">
        <v>44.338287584491702</v>
      </c>
      <c r="E42" s="133">
        <v>0</v>
      </c>
      <c r="F42" s="133">
        <v>0</v>
      </c>
      <c r="G42" s="133">
        <v>0</v>
      </c>
      <c r="H42" s="133">
        <v>0</v>
      </c>
      <c r="I42" s="133">
        <v>0</v>
      </c>
      <c r="J42" s="133">
        <v>0</v>
      </c>
      <c r="K42" s="133">
        <v>0</v>
      </c>
      <c r="L42" s="133">
        <v>0</v>
      </c>
      <c r="M42" s="133">
        <v>0</v>
      </c>
      <c r="N42" s="133">
        <v>0</v>
      </c>
      <c r="O42" s="134">
        <v>7944.9415585008719</v>
      </c>
      <c r="P42" s="136">
        <f t="shared" si="0"/>
        <v>8.4523171432135211E-2</v>
      </c>
    </row>
    <row r="43" spans="1:16" ht="16" thickTop="1" thickBot="1" x14ac:dyDescent="0.45">
      <c r="A43" s="132">
        <v>45135</v>
      </c>
      <c r="B43" s="133">
        <v>64.008388358484993</v>
      </c>
      <c r="C43" s="133">
        <v>29.603952136033293</v>
      </c>
      <c r="D43" s="133">
        <v>44.533845952044977</v>
      </c>
      <c r="E43" s="133">
        <v>0</v>
      </c>
      <c r="F43" s="133">
        <v>0</v>
      </c>
      <c r="G43" s="133">
        <v>0</v>
      </c>
      <c r="H43" s="133">
        <v>0</v>
      </c>
      <c r="I43" s="133">
        <v>0</v>
      </c>
      <c r="J43" s="133">
        <v>0</v>
      </c>
      <c r="K43" s="133">
        <v>0</v>
      </c>
      <c r="L43" s="133">
        <v>0</v>
      </c>
      <c r="M43" s="133">
        <v>0</v>
      </c>
      <c r="N43" s="133">
        <v>0</v>
      </c>
      <c r="O43" s="134">
        <v>8666.0461069039848</v>
      </c>
      <c r="P43" s="136">
        <f t="shared" si="0"/>
        <v>8.6877199536814761E-2</v>
      </c>
    </row>
    <row r="44" spans="1:16" ht="16" thickTop="1" thickBot="1" x14ac:dyDescent="0.45">
      <c r="A44" s="132">
        <v>45170</v>
      </c>
      <c r="B44" s="133">
        <v>64.493926850306678</v>
      </c>
      <c r="C44" s="133">
        <v>29.439018426300862</v>
      </c>
      <c r="D44" s="133">
        <v>44.447240917454529</v>
      </c>
      <c r="E44" s="133">
        <v>0</v>
      </c>
      <c r="F44" s="133">
        <v>0</v>
      </c>
      <c r="G44" s="133">
        <v>0</v>
      </c>
      <c r="H44" s="133">
        <v>0</v>
      </c>
      <c r="I44" s="133">
        <v>0</v>
      </c>
      <c r="J44" s="133">
        <v>0</v>
      </c>
      <c r="K44" s="133">
        <v>0</v>
      </c>
      <c r="L44" s="133">
        <v>0</v>
      </c>
      <c r="M44" s="133">
        <v>0</v>
      </c>
      <c r="N44" s="133">
        <v>0</v>
      </c>
      <c r="O44" s="134">
        <v>8166.0126513336018</v>
      </c>
      <c r="P44" s="136">
        <f t="shared" si="0"/>
        <v>-5.9431901574666497E-2</v>
      </c>
    </row>
    <row r="45" spans="1:16" ht="16" thickTop="1" thickBot="1" x14ac:dyDescent="0.45">
      <c r="A45" s="132">
        <v>45198</v>
      </c>
      <c r="B45" s="133">
        <v>65.541428818603478</v>
      </c>
      <c r="C45" s="133">
        <v>29.76465393898301</v>
      </c>
      <c r="D45" s="133">
        <v>43.27995351479975</v>
      </c>
      <c r="E45" s="133">
        <v>0</v>
      </c>
      <c r="F45" s="133">
        <v>0</v>
      </c>
      <c r="G45" s="133">
        <v>0</v>
      </c>
      <c r="H45" s="133">
        <v>0</v>
      </c>
      <c r="I45" s="133">
        <v>0</v>
      </c>
      <c r="J45" s="133">
        <v>0</v>
      </c>
      <c r="K45" s="133">
        <v>0</v>
      </c>
      <c r="L45" s="133">
        <v>0</v>
      </c>
      <c r="M45" s="133">
        <v>0</v>
      </c>
      <c r="N45" s="133">
        <v>0</v>
      </c>
      <c r="O45" s="134">
        <v>6989.7773189007694</v>
      </c>
      <c r="P45" s="136">
        <f t="shared" si="0"/>
        <v>-0.15553204352301522</v>
      </c>
    </row>
    <row r="46" spans="1:16" ht="16" thickTop="1" thickBot="1" x14ac:dyDescent="0.45">
      <c r="A46" s="132">
        <v>45226</v>
      </c>
      <c r="B46" s="133">
        <v>0</v>
      </c>
      <c r="C46" s="133">
        <v>0</v>
      </c>
      <c r="D46" s="133">
        <v>0</v>
      </c>
      <c r="E46" s="133">
        <v>37.689982048047625</v>
      </c>
      <c r="F46" s="133">
        <v>41.985326821653246</v>
      </c>
      <c r="G46" s="133">
        <v>34.760441746812575</v>
      </c>
      <c r="H46" s="133">
        <v>0</v>
      </c>
      <c r="I46" s="133">
        <v>0</v>
      </c>
      <c r="J46" s="133">
        <v>0</v>
      </c>
      <c r="K46" s="133">
        <v>0</v>
      </c>
      <c r="L46" s="133">
        <v>0</v>
      </c>
      <c r="M46" s="133">
        <v>0</v>
      </c>
      <c r="N46" s="133">
        <v>0</v>
      </c>
      <c r="O46" s="134">
        <v>6169.195357947141</v>
      </c>
      <c r="P46" s="136">
        <f t="shared" si="0"/>
        <v>-0.12488028123170189</v>
      </c>
    </row>
    <row r="47" spans="1:16" ht="16" thickTop="1" thickBot="1" x14ac:dyDescent="0.45">
      <c r="A47" s="132">
        <v>45261</v>
      </c>
      <c r="B47" s="133">
        <v>0</v>
      </c>
      <c r="C47" s="133">
        <v>0</v>
      </c>
      <c r="D47" s="133">
        <v>0</v>
      </c>
      <c r="E47" s="133">
        <v>37.294839387748716</v>
      </c>
      <c r="F47" s="133">
        <v>42.362833399380122</v>
      </c>
      <c r="G47" s="133">
        <v>34.820181047148822</v>
      </c>
      <c r="H47" s="133">
        <v>0</v>
      </c>
      <c r="I47" s="133">
        <v>0</v>
      </c>
      <c r="J47" s="133">
        <v>0</v>
      </c>
      <c r="K47" s="133">
        <v>0</v>
      </c>
      <c r="L47" s="133">
        <v>0</v>
      </c>
      <c r="M47" s="133">
        <v>0</v>
      </c>
      <c r="N47" s="133">
        <v>0</v>
      </c>
      <c r="O47" s="134">
        <v>7716.9053079349624</v>
      </c>
      <c r="P47" s="136">
        <f t="shared" si="0"/>
        <v>0.22384499940946068</v>
      </c>
    </row>
    <row r="48" spans="1:16" ht="16" thickTop="1" thickBot="1" x14ac:dyDescent="0.45">
      <c r="A48" s="132">
        <v>45289</v>
      </c>
      <c r="B48" s="133">
        <v>0</v>
      </c>
      <c r="C48" s="133">
        <v>0</v>
      </c>
      <c r="D48" s="133">
        <v>0</v>
      </c>
      <c r="E48" s="133">
        <v>36.691938536937265</v>
      </c>
      <c r="F48" s="133">
        <v>42.726883018099549</v>
      </c>
      <c r="G48" s="133">
        <v>35.099587136512554</v>
      </c>
      <c r="H48" s="133">
        <v>0</v>
      </c>
      <c r="I48" s="133">
        <v>0</v>
      </c>
      <c r="J48" s="133">
        <v>0</v>
      </c>
      <c r="K48" s="133">
        <v>0</v>
      </c>
      <c r="L48" s="133">
        <v>0</v>
      </c>
      <c r="M48" s="133">
        <v>0</v>
      </c>
      <c r="N48" s="133">
        <v>0</v>
      </c>
      <c r="O48" s="134">
        <v>8349.0638587042868</v>
      </c>
      <c r="P48" s="136">
        <f t="shared" si="0"/>
        <v>7.8736003027348414E-2</v>
      </c>
    </row>
    <row r="49" spans="1:16" ht="16" thickTop="1" thickBot="1" x14ac:dyDescent="0.45">
      <c r="A49" s="132">
        <v>45324</v>
      </c>
      <c r="B49" s="133">
        <v>52.06682543801368</v>
      </c>
      <c r="C49" s="133">
        <v>25.81341404153823</v>
      </c>
      <c r="D49" s="133">
        <v>37.536406879917834</v>
      </c>
      <c r="E49" s="133">
        <v>0</v>
      </c>
      <c r="F49" s="133">
        <v>0</v>
      </c>
      <c r="G49" s="133">
        <v>0</v>
      </c>
      <c r="H49" s="133">
        <v>0</v>
      </c>
      <c r="I49" s="133">
        <v>0</v>
      </c>
      <c r="J49" s="133">
        <v>0</v>
      </c>
      <c r="K49" s="133">
        <v>0</v>
      </c>
      <c r="L49" s="133">
        <v>0</v>
      </c>
      <c r="M49" s="133">
        <v>0</v>
      </c>
      <c r="N49" s="133">
        <v>0</v>
      </c>
      <c r="O49" s="134">
        <v>8923.0693876177866</v>
      </c>
      <c r="P49" s="136">
        <f t="shared" si="0"/>
        <v>6.6490569305724445E-2</v>
      </c>
    </row>
    <row r="50" spans="1:16" ht="16" thickTop="1" thickBot="1" x14ac:dyDescent="0.45">
      <c r="A50" s="132">
        <v>45352</v>
      </c>
      <c r="B50" s="133">
        <v>0</v>
      </c>
      <c r="C50" s="133">
        <v>0</v>
      </c>
      <c r="D50" s="133">
        <v>0</v>
      </c>
      <c r="E50" s="133">
        <v>36.293089698631888</v>
      </c>
      <c r="F50" s="133">
        <v>42.945379159465048</v>
      </c>
      <c r="G50" s="133">
        <v>37.890593964154</v>
      </c>
      <c r="H50" s="133">
        <v>0</v>
      </c>
      <c r="I50" s="133">
        <v>0</v>
      </c>
      <c r="J50" s="133">
        <v>0</v>
      </c>
      <c r="K50" s="133">
        <v>0</v>
      </c>
      <c r="L50" s="133">
        <v>0</v>
      </c>
      <c r="M50" s="133">
        <v>0</v>
      </c>
      <c r="N50" s="133">
        <v>0</v>
      </c>
      <c r="O50" s="134">
        <v>9628.5350309799869</v>
      </c>
      <c r="P50" s="136">
        <f t="shared" si="0"/>
        <v>7.6091099537158702E-2</v>
      </c>
    </row>
    <row r="51" spans="1:16" ht="16" thickTop="1" thickBot="1" x14ac:dyDescent="0.45">
      <c r="A51" s="132">
        <v>45408</v>
      </c>
      <c r="B51" s="133">
        <v>0</v>
      </c>
      <c r="C51" s="133">
        <v>0</v>
      </c>
      <c r="D51" s="133">
        <v>0</v>
      </c>
      <c r="E51" s="133">
        <v>37.233280532344139</v>
      </c>
      <c r="F51" s="133">
        <v>41.777985125185488</v>
      </c>
      <c r="G51" s="133">
        <v>37.989961167886413</v>
      </c>
      <c r="H51" s="133">
        <v>0</v>
      </c>
      <c r="I51" s="133">
        <v>0</v>
      </c>
      <c r="J51" s="133">
        <v>0</v>
      </c>
      <c r="K51" s="133">
        <v>0</v>
      </c>
      <c r="L51" s="133">
        <v>0</v>
      </c>
      <c r="M51" s="133">
        <v>0</v>
      </c>
      <c r="N51" s="133">
        <v>0</v>
      </c>
      <c r="O51" s="134">
        <v>9122.1539345445926</v>
      </c>
      <c r="P51" s="136">
        <f t="shared" si="0"/>
        <v>-5.4025135456286705E-2</v>
      </c>
    </row>
    <row r="52" spans="1:16" ht="16" thickTop="1" thickBot="1" x14ac:dyDescent="0.45">
      <c r="A52" s="132">
        <v>45443</v>
      </c>
      <c r="B52" s="133">
        <v>0</v>
      </c>
      <c r="C52" s="133">
        <v>0</v>
      </c>
      <c r="D52" s="133">
        <v>0</v>
      </c>
      <c r="E52" s="133">
        <v>36.243440089679005</v>
      </c>
      <c r="F52" s="133">
        <v>41.461888132172106</v>
      </c>
      <c r="G52" s="133">
        <v>39.368516566792728</v>
      </c>
      <c r="H52" s="133">
        <v>0</v>
      </c>
      <c r="I52" s="133">
        <v>0</v>
      </c>
      <c r="J52" s="133">
        <v>0</v>
      </c>
      <c r="K52" s="133">
        <v>0</v>
      </c>
      <c r="L52" s="133">
        <v>0</v>
      </c>
      <c r="M52" s="133">
        <v>0</v>
      </c>
      <c r="N52" s="133">
        <v>0</v>
      </c>
      <c r="O52" s="134">
        <v>9670.7050309514198</v>
      </c>
      <c r="P52" s="136">
        <f t="shared" si="0"/>
        <v>5.8395262668517176E-2</v>
      </c>
    </row>
    <row r="53" spans="1:16" ht="16" thickTop="1" thickBot="1" x14ac:dyDescent="0.45">
      <c r="A53" s="132">
        <v>45471</v>
      </c>
      <c r="B53" s="133">
        <v>0</v>
      </c>
      <c r="C53" s="133">
        <v>0</v>
      </c>
      <c r="D53" s="133">
        <v>0</v>
      </c>
      <c r="E53" s="133">
        <v>34.4963193883111</v>
      </c>
      <c r="F53" s="133">
        <v>41.558946754368037</v>
      </c>
      <c r="G53" s="133">
        <v>41.373615620006966</v>
      </c>
      <c r="H53" s="133">
        <v>0</v>
      </c>
      <c r="I53" s="133">
        <v>0</v>
      </c>
      <c r="J53" s="133">
        <v>0</v>
      </c>
      <c r="K53" s="133">
        <v>0</v>
      </c>
      <c r="L53" s="133">
        <v>0</v>
      </c>
      <c r="M53" s="133">
        <v>0</v>
      </c>
      <c r="N53" s="133">
        <v>0</v>
      </c>
      <c r="O53" s="134">
        <v>10308.61543092156</v>
      </c>
      <c r="P53" s="136">
        <f t="shared" si="0"/>
        <v>6.3878779307855654E-2</v>
      </c>
    </row>
    <row r="54" spans="1:16" ht="16" thickTop="1" thickBot="1" x14ac:dyDescent="0.45">
      <c r="A54" s="132">
        <v>45506</v>
      </c>
      <c r="B54" s="133">
        <v>0</v>
      </c>
      <c r="C54" s="133">
        <v>0</v>
      </c>
      <c r="D54" s="133">
        <v>0</v>
      </c>
      <c r="E54" s="133">
        <v>37.694685347624358</v>
      </c>
      <c r="F54" s="133">
        <v>41.390730816401359</v>
      </c>
      <c r="G54" s="133">
        <v>38.272050185741541</v>
      </c>
      <c r="H54" s="133">
        <v>0</v>
      </c>
      <c r="I54" s="133">
        <v>0</v>
      </c>
      <c r="J54" s="133">
        <v>0</v>
      </c>
      <c r="K54" s="133">
        <v>0</v>
      </c>
      <c r="L54" s="133">
        <v>0</v>
      </c>
      <c r="M54" s="133">
        <v>0</v>
      </c>
      <c r="N54" s="133">
        <v>0</v>
      </c>
      <c r="O54" s="134">
        <v>9762.2463549985241</v>
      </c>
      <c r="P54" s="136">
        <f t="shared" si="0"/>
        <v>-5.4457461944579476E-2</v>
      </c>
    </row>
    <row r="55" spans="1:16" ht="16" thickTop="1" thickBot="1" x14ac:dyDescent="0.45">
      <c r="A55" s="132">
        <v>45534</v>
      </c>
      <c r="B55" s="133">
        <v>0</v>
      </c>
      <c r="C55" s="133">
        <v>0</v>
      </c>
      <c r="D55" s="133">
        <v>0</v>
      </c>
      <c r="E55" s="133">
        <v>0</v>
      </c>
      <c r="F55" s="133">
        <v>0</v>
      </c>
      <c r="G55" s="133">
        <v>0</v>
      </c>
      <c r="H55" s="133">
        <v>7.5726425514950435</v>
      </c>
      <c r="I55" s="133">
        <v>6.9412096878786089</v>
      </c>
      <c r="J55" s="133">
        <v>8.6394468850225099</v>
      </c>
      <c r="K55" s="133">
        <v>0</v>
      </c>
      <c r="L55" s="133">
        <v>0</v>
      </c>
      <c r="M55" s="133">
        <v>0</v>
      </c>
      <c r="N55" s="133">
        <v>0</v>
      </c>
      <c r="O55" s="134">
        <v>10798.270613188648</v>
      </c>
      <c r="P55" s="136">
        <f t="shared" si="0"/>
        <v>0.10086345963376635</v>
      </c>
    </row>
    <row r="56" spans="1:16" ht="16" thickTop="1" thickBot="1" x14ac:dyDescent="0.45">
      <c r="A56" s="132">
        <v>45562</v>
      </c>
      <c r="B56" s="133">
        <v>0</v>
      </c>
      <c r="C56" s="133">
        <v>0</v>
      </c>
      <c r="D56" s="133">
        <v>0</v>
      </c>
      <c r="E56" s="133">
        <v>0</v>
      </c>
      <c r="F56" s="133">
        <v>0</v>
      </c>
      <c r="G56" s="133">
        <v>0</v>
      </c>
      <c r="H56" s="133">
        <v>5.6542292391099318</v>
      </c>
      <c r="I56" s="133">
        <v>5.2228024450958248</v>
      </c>
      <c r="J56" s="133">
        <v>6.4876602314962488</v>
      </c>
      <c r="K56" s="133">
        <v>23.201787374904288</v>
      </c>
      <c r="L56" s="133">
        <v>20.997519801035306</v>
      </c>
      <c r="M56" s="133">
        <v>34.154293051415657</v>
      </c>
      <c r="N56" s="133">
        <v>0</v>
      </c>
      <c r="O56" s="134">
        <v>10986.81070713277</v>
      </c>
      <c r="P56" s="136">
        <f t="shared" si="0"/>
        <v>1.7309533866744178E-2</v>
      </c>
    </row>
    <row r="57" spans="1:16" ht="16" thickTop="1" thickBot="1" x14ac:dyDescent="0.45">
      <c r="A57" s="132">
        <v>45597</v>
      </c>
      <c r="B57" s="133">
        <v>0</v>
      </c>
      <c r="C57" s="133">
        <v>0</v>
      </c>
      <c r="D57" s="133">
        <v>0</v>
      </c>
      <c r="E57" s="133">
        <v>0</v>
      </c>
      <c r="F57" s="133">
        <v>0</v>
      </c>
      <c r="G57" s="133">
        <v>0</v>
      </c>
      <c r="H57" s="133">
        <v>7.5340322860846678</v>
      </c>
      <c r="I57" s="133">
        <v>6.9747367984743383</v>
      </c>
      <c r="J57" s="133">
        <v>8.7087156535868058</v>
      </c>
      <c r="K57" s="133">
        <v>0</v>
      </c>
      <c r="L57" s="133">
        <v>0</v>
      </c>
      <c r="M57" s="133">
        <v>0</v>
      </c>
      <c r="N57" s="133">
        <v>0</v>
      </c>
      <c r="O57" s="134">
        <v>10994.950006063918</v>
      </c>
      <c r="P57" s="136">
        <f t="shared" si="0"/>
        <v>7.4055025976480036E-4</v>
      </c>
    </row>
    <row r="58" spans="1:16" ht="16" thickTop="1" thickBot="1" x14ac:dyDescent="0.45">
      <c r="A58" s="132">
        <v>45625</v>
      </c>
      <c r="B58" s="133">
        <v>0</v>
      </c>
      <c r="C58" s="133">
        <v>0</v>
      </c>
      <c r="D58" s="133">
        <v>0</v>
      </c>
      <c r="E58" s="133">
        <v>0</v>
      </c>
      <c r="F58" s="133">
        <v>0</v>
      </c>
      <c r="G58" s="133">
        <v>0</v>
      </c>
      <c r="H58" s="133">
        <v>7.6140203979165717</v>
      </c>
      <c r="I58" s="133">
        <v>6.9916890892108352</v>
      </c>
      <c r="J58" s="133">
        <v>8.5972815287069011</v>
      </c>
      <c r="K58" s="133">
        <v>0</v>
      </c>
      <c r="L58" s="133">
        <v>0</v>
      </c>
      <c r="M58" s="133">
        <v>0</v>
      </c>
      <c r="N58" s="133">
        <v>0</v>
      </c>
      <c r="O58" s="134">
        <v>11620.271506821333</v>
      </c>
      <c r="P58" s="136">
        <f t="shared" si="0"/>
        <v>5.531503959965213E-2</v>
      </c>
    </row>
    <row r="59" spans="1:16" ht="16" thickTop="1" thickBot="1" x14ac:dyDescent="0.45">
      <c r="A59" s="132">
        <v>45653</v>
      </c>
      <c r="B59" s="133">
        <v>0</v>
      </c>
      <c r="C59" s="133">
        <v>0</v>
      </c>
      <c r="D59" s="133">
        <v>0</v>
      </c>
      <c r="E59" s="133">
        <v>0</v>
      </c>
      <c r="F59" s="133">
        <v>0</v>
      </c>
      <c r="G59" s="133">
        <v>0</v>
      </c>
      <c r="H59" s="133">
        <v>7.3507528526164787</v>
      </c>
      <c r="I59" s="133">
        <v>7.0002717082679684</v>
      </c>
      <c r="J59" s="133">
        <v>8.9062994553320696</v>
      </c>
      <c r="K59" s="133">
        <v>0</v>
      </c>
      <c r="L59" s="133">
        <v>0</v>
      </c>
      <c r="M59" s="133">
        <v>0</v>
      </c>
      <c r="N59" s="133">
        <v>0</v>
      </c>
      <c r="O59" s="134">
        <v>11500.626924302673</v>
      </c>
      <c r="P59" s="136">
        <f t="shared" si="0"/>
        <v>-1.0349567585893078E-2</v>
      </c>
    </row>
    <row r="60" spans="1:16" ht="16" thickTop="1" thickBot="1" x14ac:dyDescent="0.45">
      <c r="A60" s="132">
        <v>45688</v>
      </c>
      <c r="B60" s="133">
        <v>0</v>
      </c>
      <c r="C60" s="133">
        <v>0</v>
      </c>
      <c r="D60" s="133">
        <v>0</v>
      </c>
      <c r="E60" s="133">
        <v>34.82671355306509</v>
      </c>
      <c r="F60" s="133">
        <v>40.140993106843894</v>
      </c>
      <c r="G60" s="133">
        <v>37.447147840998092</v>
      </c>
      <c r="H60" s="133">
        <v>0</v>
      </c>
      <c r="I60" s="133">
        <v>0</v>
      </c>
      <c r="J60" s="133">
        <v>0</v>
      </c>
      <c r="K60" s="133">
        <v>0</v>
      </c>
      <c r="L60" s="133">
        <v>0</v>
      </c>
      <c r="M60" s="133">
        <v>0</v>
      </c>
      <c r="N60" s="133">
        <v>0</v>
      </c>
      <c r="O60" s="134">
        <v>11679.461854720681</v>
      </c>
      <c r="P60" s="136">
        <f t="shared" si="0"/>
        <v>1.5430353216443008E-2</v>
      </c>
    </row>
    <row r="61" spans="1:16" ht="16" thickTop="1" thickBot="1" x14ac:dyDescent="0.45">
      <c r="A61" s="132">
        <v>45716</v>
      </c>
      <c r="B61" s="133">
        <v>0</v>
      </c>
      <c r="C61" s="133">
        <v>0</v>
      </c>
      <c r="D61" s="133">
        <v>0</v>
      </c>
      <c r="E61" s="133">
        <v>0</v>
      </c>
      <c r="F61" s="133">
        <v>0</v>
      </c>
      <c r="G61" s="133">
        <v>0</v>
      </c>
      <c r="H61" s="133">
        <v>7.3570503904189177</v>
      </c>
      <c r="I61" s="133">
        <v>6.8226873298598099</v>
      </c>
      <c r="J61" s="133">
        <v>8.5029516778960446</v>
      </c>
      <c r="K61" s="133">
        <v>0</v>
      </c>
      <c r="L61" s="133">
        <v>0</v>
      </c>
      <c r="M61" s="133">
        <v>0</v>
      </c>
      <c r="N61" s="133">
        <v>0</v>
      </c>
      <c r="O61" s="134">
        <v>11193.51016672964</v>
      </c>
      <c r="P61" s="136">
        <f t="shared" si="0"/>
        <v>-4.2497741300278342E-2</v>
      </c>
    </row>
    <row r="62" spans="1:16" ht="16" thickTop="1" thickBot="1" x14ac:dyDescent="0.45">
      <c r="A62" s="132">
        <v>45744</v>
      </c>
      <c r="B62" s="133">
        <v>0</v>
      </c>
      <c r="C62" s="133">
        <v>0</v>
      </c>
      <c r="D62" s="133">
        <v>0</v>
      </c>
      <c r="E62" s="133">
        <v>0</v>
      </c>
      <c r="F62" s="133">
        <v>0</v>
      </c>
      <c r="G62" s="133">
        <v>0</v>
      </c>
      <c r="H62" s="133">
        <v>7.4565179583907657</v>
      </c>
      <c r="I62" s="133">
        <v>6.8249620053973743</v>
      </c>
      <c r="J62" s="133">
        <v>8.3879277946228115</v>
      </c>
      <c r="K62" s="133">
        <v>0</v>
      </c>
      <c r="L62" s="133">
        <v>0</v>
      </c>
      <c r="M62" s="133">
        <v>0</v>
      </c>
      <c r="N62" s="133">
        <v>0</v>
      </c>
      <c r="O62" s="134">
        <v>10469.040567701064</v>
      </c>
      <c r="P62" s="136">
        <f t="shared" si="0"/>
        <v>-6.6911776595370384E-2</v>
      </c>
    </row>
    <row r="63" spans="1:16" ht="16" thickTop="1" thickBot="1" x14ac:dyDescent="0.45">
      <c r="A63" s="132">
        <v>45779</v>
      </c>
      <c r="B63" s="133">
        <v>0</v>
      </c>
      <c r="C63" s="133">
        <v>0</v>
      </c>
      <c r="D63" s="133">
        <v>0</v>
      </c>
      <c r="E63" s="133">
        <v>0</v>
      </c>
      <c r="F63" s="133">
        <v>0</v>
      </c>
      <c r="G63" s="133">
        <v>0</v>
      </c>
      <c r="H63" s="133">
        <v>5.4644111662783255</v>
      </c>
      <c r="I63" s="133">
        <v>5.1144983110851214</v>
      </c>
      <c r="J63" s="133">
        <v>6.4477301783093548</v>
      </c>
      <c r="K63" s="133">
        <v>23.314725784157133</v>
      </c>
      <c r="L63" s="133">
        <v>20.430920454020566</v>
      </c>
      <c r="M63" s="133">
        <v>32.553116773491553</v>
      </c>
      <c r="N63" s="133">
        <v>0</v>
      </c>
      <c r="O63" s="134">
        <v>10663.34545723422</v>
      </c>
      <c r="P63" s="136">
        <f t="shared" si="0"/>
        <v>1.8389817902826382E-2</v>
      </c>
    </row>
    <row r="64" spans="1:16" ht="16" thickTop="1" thickBot="1" x14ac:dyDescent="0.45">
      <c r="A64" s="132">
        <v>45807</v>
      </c>
      <c r="B64" s="133">
        <v>0</v>
      </c>
      <c r="C64" s="133">
        <v>0</v>
      </c>
      <c r="D64" s="133">
        <v>0</v>
      </c>
      <c r="E64" s="133">
        <v>0</v>
      </c>
      <c r="F64" s="133">
        <v>0</v>
      </c>
      <c r="G64" s="133">
        <v>0</v>
      </c>
      <c r="H64" s="133">
        <v>5.2602420117716875</v>
      </c>
      <c r="I64" s="133">
        <v>5.0252298495709011</v>
      </c>
      <c r="J64" s="133">
        <v>6.4383789359850896</v>
      </c>
      <c r="K64" s="133">
        <v>25.24167174786459</v>
      </c>
      <c r="L64" s="133">
        <v>21.642964882449444</v>
      </c>
      <c r="M64" s="133">
        <v>33.975647893360112</v>
      </c>
      <c r="N64" s="133">
        <v>0</v>
      </c>
      <c r="O64" s="134">
        <v>10900.775064576743</v>
      </c>
      <c r="P64" s="136">
        <f t="shared" si="0"/>
        <v>2.2021691285347162E-2</v>
      </c>
    </row>
    <row r="65" spans="1:16" ht="16" thickTop="1" thickBot="1" x14ac:dyDescent="0.45">
      <c r="A65" s="132">
        <v>45835</v>
      </c>
      <c r="B65" s="133">
        <v>0</v>
      </c>
      <c r="C65" s="133">
        <v>0</v>
      </c>
      <c r="D65" s="133">
        <v>0</v>
      </c>
      <c r="E65" s="133">
        <v>0</v>
      </c>
      <c r="F65" s="133">
        <v>0</v>
      </c>
      <c r="G65" s="133">
        <v>0</v>
      </c>
      <c r="H65" s="133">
        <v>6.7890720617114271</v>
      </c>
      <c r="I65" s="133">
        <v>6.543578485327747</v>
      </c>
      <c r="J65" s="133">
        <v>8.4700500048726788</v>
      </c>
      <c r="K65" s="133">
        <v>0</v>
      </c>
      <c r="L65" s="133">
        <v>0</v>
      </c>
      <c r="M65" s="133">
        <v>0</v>
      </c>
      <c r="N65" s="133">
        <v>0</v>
      </c>
      <c r="O65" s="134">
        <v>11140.786492895595</v>
      </c>
      <c r="P65" s="136">
        <f t="shared" si="0"/>
        <v>2.1778939256516961E-2</v>
      </c>
    </row>
    <row r="66" spans="1:16" ht="16" thickTop="1" thickBot="1" x14ac:dyDescent="0.45">
      <c r="A66" s="132">
        <v>45870</v>
      </c>
      <c r="B66" s="133">
        <v>0</v>
      </c>
      <c r="C66" s="133">
        <v>0</v>
      </c>
      <c r="D66" s="133">
        <v>0</v>
      </c>
      <c r="E66" s="133">
        <v>31.708972224027328</v>
      </c>
      <c r="F66" s="133">
        <v>37.904043395443921</v>
      </c>
      <c r="G66" s="133">
        <v>39.088915788240648</v>
      </c>
      <c r="H66" s="133">
        <v>0</v>
      </c>
      <c r="I66" s="133">
        <v>0</v>
      </c>
      <c r="J66" s="133">
        <v>0</v>
      </c>
      <c r="K66" s="133">
        <v>0</v>
      </c>
      <c r="L66" s="133">
        <v>0</v>
      </c>
      <c r="M66" s="133">
        <v>0</v>
      </c>
      <c r="N66" s="133">
        <v>0</v>
      </c>
      <c r="O66" s="134">
        <v>11190.22947047124</v>
      </c>
      <c r="P66" s="136">
        <f t="shared" si="0"/>
        <v>4.428196052552659E-3</v>
      </c>
    </row>
    <row r="67" spans="1:16" ht="16" thickTop="1" thickBot="1" x14ac:dyDescent="0.45">
      <c r="A67" s="132">
        <v>45898</v>
      </c>
      <c r="B67" s="133">
        <v>44.825068051979194</v>
      </c>
      <c r="C67" s="133">
        <v>20.691028979096686</v>
      </c>
      <c r="D67" s="133">
        <v>38.984530402373665</v>
      </c>
      <c r="E67" s="133">
        <v>0</v>
      </c>
      <c r="F67" s="133">
        <v>0</v>
      </c>
      <c r="G67" s="133">
        <v>0</v>
      </c>
      <c r="H67" s="133">
        <v>0</v>
      </c>
      <c r="I67" s="133">
        <v>0</v>
      </c>
      <c r="J67" s="133">
        <v>0</v>
      </c>
      <c r="K67" s="133">
        <v>0</v>
      </c>
      <c r="L67" s="133">
        <v>0</v>
      </c>
      <c r="M67" s="133">
        <v>0</v>
      </c>
      <c r="N67" s="133">
        <v>0</v>
      </c>
      <c r="O67" s="134">
        <v>11992.718887676379</v>
      </c>
      <c r="P67" s="136">
        <f>LN(O67/$O66)</f>
        <v>6.9258677416644279E-2</v>
      </c>
    </row>
    <row r="68" spans="1:16" ht="16" thickTop="1" thickBot="1" x14ac:dyDescent="0.45">
      <c r="A68" s="132">
        <v>45926</v>
      </c>
      <c r="B68" s="139">
        <v>42.812446536512219</v>
      </c>
      <c r="C68" s="139">
        <v>20.778795969484285</v>
      </c>
      <c r="D68" s="139">
        <v>40.733100376891144</v>
      </c>
      <c r="E68" s="133">
        <v>0</v>
      </c>
      <c r="F68" s="133">
        <v>0</v>
      </c>
      <c r="G68" s="133">
        <v>0</v>
      </c>
      <c r="H68" s="133">
        <v>0</v>
      </c>
      <c r="I68" s="133">
        <v>0</v>
      </c>
      <c r="J68" s="133">
        <v>0</v>
      </c>
      <c r="K68" s="133">
        <v>0</v>
      </c>
      <c r="L68" s="133">
        <v>0</v>
      </c>
      <c r="M68" s="133">
        <v>0</v>
      </c>
      <c r="N68" s="133">
        <v>0</v>
      </c>
      <c r="O68" s="134">
        <v>12978.323987490603</v>
      </c>
      <c r="P68" s="136">
        <v>7.8980873974672794E-2</v>
      </c>
    </row>
    <row r="69" spans="1:16" ht="16" thickTop="1" thickBot="1" x14ac:dyDescent="0.45">
      <c r="A69" s="132">
        <v>45961</v>
      </c>
      <c r="B69" s="139">
        <v>42.812446536512219</v>
      </c>
      <c r="C69" s="139">
        <v>20.778795969484285</v>
      </c>
      <c r="D69" s="139">
        <v>40.733100376891144</v>
      </c>
      <c r="E69" s="133">
        <v>0</v>
      </c>
      <c r="F69" s="133">
        <v>0</v>
      </c>
      <c r="G69" s="133">
        <v>0</v>
      </c>
      <c r="H69" s="133">
        <v>0</v>
      </c>
      <c r="I69" s="133">
        <v>0</v>
      </c>
      <c r="J69" s="133">
        <v>0</v>
      </c>
      <c r="K69" s="133">
        <v>0</v>
      </c>
      <c r="L69" s="133">
        <v>0</v>
      </c>
      <c r="M69" s="133">
        <v>0</v>
      </c>
      <c r="N69" s="133">
        <v>0</v>
      </c>
      <c r="O69" s="134">
        <v>14306.597022536447</v>
      </c>
      <c r="P69" s="136">
        <v>9.7440180883667224E-2</v>
      </c>
    </row>
    <row r="70" spans="1:16" ht="16" thickTop="1" thickBot="1" x14ac:dyDescent="0.45">
      <c r="A70" s="132">
        <v>45989</v>
      </c>
      <c r="B70" s="133">
        <v>0</v>
      </c>
      <c r="C70" s="133">
        <v>0</v>
      </c>
      <c r="D70" s="133">
        <v>0</v>
      </c>
      <c r="E70" s="133">
        <v>64.949982324146148</v>
      </c>
      <c r="F70" s="133">
        <v>79.816236875585517</v>
      </c>
      <c r="G70" s="133">
        <v>82.624270207221286</v>
      </c>
      <c r="H70" s="133">
        <v>0</v>
      </c>
      <c r="I70" s="133">
        <v>0</v>
      </c>
      <c r="J70" s="133">
        <v>0</v>
      </c>
      <c r="K70" s="133">
        <v>0</v>
      </c>
      <c r="L70" s="133">
        <v>0</v>
      </c>
      <c r="M70" s="133">
        <v>0</v>
      </c>
      <c r="N70" s="133">
        <v>0</v>
      </c>
      <c r="O70" s="134">
        <v>13964.245724933058</v>
      </c>
      <c r="P70" s="136">
        <v>-2.4220575014680074E-2</v>
      </c>
    </row>
    <row r="71" spans="1:16" ht="16" thickTop="1" thickBot="1" x14ac:dyDescent="0.45">
      <c r="A71" s="132">
        <v>46024</v>
      </c>
      <c r="B71" s="133">
        <v>0</v>
      </c>
      <c r="C71" s="133">
        <v>0</v>
      </c>
      <c r="D71" s="133">
        <v>0</v>
      </c>
      <c r="E71" s="133">
        <v>66.4364182259405</v>
      </c>
      <c r="F71" s="133">
        <v>79.918231448251007</v>
      </c>
      <c r="G71" s="133">
        <v>80.710050820803943</v>
      </c>
      <c r="H71" s="133">
        <v>0</v>
      </c>
      <c r="I71" s="133">
        <v>0</v>
      </c>
      <c r="J71" s="133">
        <v>0</v>
      </c>
      <c r="K71" s="133">
        <v>0</v>
      </c>
      <c r="L71" s="133">
        <v>0</v>
      </c>
      <c r="M71" s="133">
        <v>0</v>
      </c>
      <c r="N71" s="133">
        <v>0</v>
      </c>
      <c r="O71" s="134">
        <v>13943.691066660178</v>
      </c>
      <c r="P71" s="136">
        <v>-1.4730334343987519E-3</v>
      </c>
    </row>
    <row r="72" spans="1:16" ht="16" thickTop="1" thickBot="1" x14ac:dyDescent="0.45">
      <c r="A72" s="132">
        <v>46052</v>
      </c>
      <c r="B72" s="133">
        <v>0</v>
      </c>
      <c r="C72" s="133">
        <v>0</v>
      </c>
      <c r="D72" s="133">
        <v>0</v>
      </c>
      <c r="E72" s="133">
        <v>66.258128658432909</v>
      </c>
      <c r="F72" s="133">
        <v>79.89786831792108</v>
      </c>
      <c r="G72" s="133">
        <v>80.949156675711563</v>
      </c>
      <c r="H72" s="133">
        <v>0</v>
      </c>
      <c r="I72" s="133">
        <v>0</v>
      </c>
      <c r="J72" s="133">
        <v>0</v>
      </c>
      <c r="K72" s="133">
        <v>0</v>
      </c>
      <c r="L72" s="133">
        <v>0</v>
      </c>
      <c r="M72" s="133">
        <v>0</v>
      </c>
      <c r="N72" s="133">
        <v>0</v>
      </c>
      <c r="O72" s="134">
        <v>14225.659716871542</v>
      </c>
      <c r="P72" s="136">
        <v>2.0020203537464001E-2</v>
      </c>
    </row>
    <row r="73" spans="1:16" ht="16" thickTop="1" thickBot="1" x14ac:dyDescent="0.45">
      <c r="A73" s="132">
        <v>46080</v>
      </c>
      <c r="B73" s="133">
        <v>0</v>
      </c>
      <c r="C73" s="133">
        <v>0</v>
      </c>
      <c r="D73" s="133">
        <v>0</v>
      </c>
      <c r="E73" s="133">
        <v>68.178096944052299</v>
      </c>
      <c r="F73" s="133">
        <v>79.668165322590752</v>
      </c>
      <c r="G73" s="133">
        <v>78.946875031860202</v>
      </c>
      <c r="H73" s="133">
        <v>0</v>
      </c>
      <c r="I73" s="133">
        <v>0</v>
      </c>
      <c r="J73" s="133">
        <v>0</v>
      </c>
      <c r="K73" s="133">
        <v>0</v>
      </c>
      <c r="L73" s="133">
        <v>0</v>
      </c>
      <c r="M73" s="133">
        <v>0</v>
      </c>
      <c r="N73" s="133">
        <v>0</v>
      </c>
      <c r="O73" s="134">
        <v>13878.528938868225</v>
      </c>
      <c r="P73" s="136">
        <v>-2.4704390990931448E-2</v>
      </c>
    </row>
    <row r="74" spans="1:16" ht="16" thickTop="1" thickBot="1" x14ac:dyDescent="0.45">
      <c r="A74" s="132">
        <v>46108</v>
      </c>
      <c r="B74" s="133">
        <v>0</v>
      </c>
      <c r="C74" s="133">
        <v>0</v>
      </c>
      <c r="D74" s="133">
        <v>0</v>
      </c>
      <c r="E74" s="133">
        <v>0</v>
      </c>
      <c r="F74" s="133">
        <v>0</v>
      </c>
      <c r="G74" s="133">
        <v>0</v>
      </c>
      <c r="H74" s="133">
        <v>7.0048886973670079</v>
      </c>
      <c r="I74" s="133">
        <v>6.7397615984708601</v>
      </c>
      <c r="J74" s="133">
        <v>8.7042500765000863</v>
      </c>
      <c r="K74" s="133">
        <v>0</v>
      </c>
      <c r="L74" s="133">
        <v>0</v>
      </c>
      <c r="M74" s="133">
        <v>0</v>
      </c>
      <c r="N74" s="133">
        <v>0</v>
      </c>
      <c r="O74" s="134">
        <v>11798.833542147258</v>
      </c>
      <c r="P74" s="136">
        <v>-0.1623422910055364</v>
      </c>
    </row>
    <row r="75" spans="1:16" ht="16" thickTop="1" thickBot="1" x14ac:dyDescent="0.45">
      <c r="A75" s="132">
        <v>46143</v>
      </c>
      <c r="B75" s="133">
        <v>0</v>
      </c>
      <c r="C75" s="133">
        <v>0</v>
      </c>
      <c r="D75" s="133">
        <v>0</v>
      </c>
      <c r="E75" s="133">
        <v>0</v>
      </c>
      <c r="F75" s="133">
        <v>0</v>
      </c>
      <c r="G75" s="133">
        <v>0</v>
      </c>
      <c r="H75" s="133">
        <v>5.0149606396946558</v>
      </c>
      <c r="I75" s="133">
        <v>5.0877158053027562</v>
      </c>
      <c r="J75" s="133">
        <v>6.8092474031498886</v>
      </c>
      <c r="K75" s="133">
        <v>40.772261364471227</v>
      </c>
      <c r="L75" s="133">
        <v>32.699975890795372</v>
      </c>
      <c r="M75" s="133">
        <v>49.000051313239489</v>
      </c>
      <c r="N75" s="133">
        <v>0</v>
      </c>
      <c r="O75" s="134">
        <v>13496.350649443968</v>
      </c>
      <c r="P75" s="136">
        <v>0.13441865241232451</v>
      </c>
    </row>
    <row r="76" spans="1:16" ht="16" thickTop="1" thickBot="1" x14ac:dyDescent="0.45">
      <c r="A76" s="132">
        <v>46171</v>
      </c>
      <c r="B76" s="133">
        <v>0</v>
      </c>
      <c r="C76" s="133">
        <v>0</v>
      </c>
      <c r="D76" s="133">
        <v>0</v>
      </c>
      <c r="E76" s="133">
        <v>0</v>
      </c>
      <c r="F76" s="133">
        <v>0</v>
      </c>
      <c r="G76" s="133">
        <v>0</v>
      </c>
      <c r="H76" s="133">
        <v>6.2967694013533402</v>
      </c>
      <c r="I76" s="133">
        <v>6.6644362983639232</v>
      </c>
      <c r="J76" s="133">
        <v>9.0744523026429214</v>
      </c>
      <c r="K76" s="133">
        <v>0</v>
      </c>
      <c r="L76" s="133">
        <v>0</v>
      </c>
      <c r="M76" s="133">
        <v>0</v>
      </c>
      <c r="N76" s="133">
        <v>0</v>
      </c>
      <c r="O76" s="134">
        <v>13919.06527347369</v>
      </c>
      <c r="P76" s="136">
        <v>3.0840176120162016E-2</v>
      </c>
    </row>
    <row r="77" spans="1:16" ht="16" thickTop="1" thickBot="1" x14ac:dyDescent="0.45">
      <c r="A77" s="132">
        <v>46199</v>
      </c>
      <c r="B77" s="133">
        <v>0</v>
      </c>
      <c r="C77" s="133">
        <v>0</v>
      </c>
      <c r="D77" s="133">
        <v>0</v>
      </c>
      <c r="E77" s="133">
        <v>51.021933090418983</v>
      </c>
      <c r="F77" s="133">
        <v>70.373501234915366</v>
      </c>
      <c r="G77" s="133">
        <v>70.65867459376129</v>
      </c>
      <c r="H77" s="133">
        <v>0</v>
      </c>
      <c r="I77" s="133">
        <v>0</v>
      </c>
      <c r="J77" s="133">
        <v>0</v>
      </c>
      <c r="K77" s="133">
        <v>0</v>
      </c>
      <c r="L77" s="133">
        <v>0</v>
      </c>
      <c r="M77" s="133">
        <v>0</v>
      </c>
      <c r="N77" s="133">
        <v>0</v>
      </c>
      <c r="O77" s="134">
        <v>13613.996458545102</v>
      </c>
      <c r="P77" s="136">
        <v>-2.2161087865072385E-2</v>
      </c>
    </row>
    <row r="78" spans="1:16" ht="16" thickTop="1" thickBot="1" x14ac:dyDescent="0.45">
      <c r="A78" s="132">
        <v>46234</v>
      </c>
      <c r="B78" s="133">
        <v>0</v>
      </c>
      <c r="C78" s="133">
        <v>0</v>
      </c>
      <c r="D78" s="133">
        <v>0</v>
      </c>
      <c r="E78" s="133">
        <v>54.380384949234553</v>
      </c>
      <c r="F78" s="133">
        <v>67.717332127341308</v>
      </c>
      <c r="G78" s="133">
        <v>69.088999109645059</v>
      </c>
      <c r="H78" s="133">
        <v>0</v>
      </c>
      <c r="I78" s="133">
        <v>0</v>
      </c>
      <c r="J78" s="133">
        <v>0</v>
      </c>
      <c r="K78" s="133">
        <v>0</v>
      </c>
      <c r="L78" s="133">
        <v>0</v>
      </c>
      <c r="M78" s="133">
        <v>0</v>
      </c>
      <c r="N78" s="133">
        <v>0</v>
      </c>
      <c r="O78" s="134">
        <v>13622.774578230528</v>
      </c>
      <c r="P78" s="136">
        <v>6.4457860863919691E-4</v>
      </c>
    </row>
    <row r="79" spans="1:16" ht="16" thickTop="1" thickBot="1" x14ac:dyDescent="0.45">
      <c r="A79" s="132">
        <v>46262</v>
      </c>
      <c r="B79" s="133">
        <v>66.927290179730662</v>
      </c>
      <c r="C79" s="133">
        <v>16.524188574170907</v>
      </c>
      <c r="D79" s="133">
        <v>64.902235504320799</v>
      </c>
      <c r="E79" s="133">
        <v>0</v>
      </c>
      <c r="F79" s="133">
        <v>0</v>
      </c>
      <c r="G79" s="133">
        <v>0</v>
      </c>
      <c r="H79" s="133">
        <v>0</v>
      </c>
      <c r="I79" s="133">
        <v>0</v>
      </c>
      <c r="J79" s="133">
        <v>0</v>
      </c>
      <c r="K79" s="133">
        <v>0</v>
      </c>
      <c r="L79" s="133">
        <v>0</v>
      </c>
      <c r="M79" s="133">
        <v>0</v>
      </c>
      <c r="N79" s="133">
        <v>0</v>
      </c>
      <c r="O79" s="134">
        <v>14397.382327217689</v>
      </c>
      <c r="P79" s="136">
        <v>5.5303413724294412E-2</v>
      </c>
    </row>
    <row r="80" spans="1:16" ht="15" thickTop="1" x14ac:dyDescent="0.35"/>
  </sheetData>
  <sheetProtection algorithmName="SHA-512" hashValue="HgwADcudnwrBuUj8NrV9RfSwHSDbOXqSRcm5Dex17WCM/cmCMpSuDMeLN7gmYU0aqDp1fHxtVpGYT0MZVcw0sQ==" saltValue="iXJ70Ggr5vxLS64v+PamSg==" spinCount="100000" sheet="1" formatRows="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Portafolio Actual</vt:lpstr>
      <vt:lpstr>Último rebalanceo</vt:lpstr>
      <vt:lpstr>Serie histórica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Scientia</dc:creator>
  <cp:keywords/>
  <dc:description/>
  <cp:lastModifiedBy>Ulises Legaspi Soubervielle</cp:lastModifiedBy>
  <cp:revision>1</cp:revision>
  <dcterms:created xsi:type="dcterms:W3CDTF">2026-08-08T20:15:49Z</dcterms:created>
  <dcterms:modified xsi:type="dcterms:W3CDTF">2026-08-30T19:58:46Z</dcterms:modified>
  <cp:category/>
  <cp:contentStatus/>
</cp:coreProperties>
</file>