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218" documentId="8_{B3768AEF-5C22-4CA1-9DCA-2ABE0D496F0A}" xr6:coauthVersionLast="47" xr6:coauthVersionMax="47" xr10:uidLastSave="{0EB31E3B-B7DD-4903-9EFF-B8AC498CD5A2}"/>
  <bookViews>
    <workbookView xWindow="-110" yWindow="-110" windowWidth="19420" windowHeight="11500" tabRatio="764" xr2:uid="{00000000-000D-0000-FFFF-FFFF00000000}"/>
  </bookViews>
  <sheets>
    <sheet name="Instrucciones" sheetId="6" r:id="rId1"/>
    <sheet name="Código Python" sheetId="7" r:id="rId2"/>
    <sheet name="Resumen" sheetId="5" r:id="rId3"/>
    <sheet name="GBM-DW" sheetId="1" r:id="rId4"/>
    <sheet name="IBKR Transactions" sheetId="2" r:id="rId5"/>
    <sheet name="Moomoo" sheetId="3" r:id="rId6"/>
    <sheet name="IBKR Activity Statement" sheetId="4" r:id="rId7"/>
  </sheets>
  <definedNames>
    <definedName name="_xlnm._FilterDatabase" localSheetId="3" hidden="1">'GBM-DW'!$A$1:$P$1</definedName>
    <definedName name="_xlnm._FilterDatabase" localSheetId="6" hidden="1">'IBKR Activity Statement'!$A$1:$K$39</definedName>
    <definedName name="_xlnm._FilterDatabase" localSheetId="4" hidden="1">'IBKR Transactions'!$A$1:$N$33</definedName>
    <definedName name="_xlnm._FilterDatabase" localSheetId="5" hidden="1">Moomoo!$A$1:$P$88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5" l="1"/>
  <c r="D17" i="5"/>
  <c r="D18" i="5"/>
  <c r="D15" i="5"/>
  <c r="B16" i="5" a="1"/>
  <c r="B16" i="5" s="1"/>
  <c r="C16" i="5" s="1"/>
  <c r="B17" i="5" a="1"/>
  <c r="B17" i="5" s="1"/>
  <c r="C17" i="5" s="1"/>
  <c r="B18" i="5" a="1"/>
  <c r="B18" i="5" s="1"/>
  <c r="C18" i="5" s="1"/>
  <c r="B15" i="5" a="1"/>
  <c r="B15" i="5" s="1"/>
  <c r="C15" i="5" s="1"/>
  <c r="K5" i="4" a="1"/>
  <c r="K5" i="4"/>
  <c r="K6" i="4" a="1"/>
  <c r="K6" i="4" s="1"/>
  <c r="K7" i="4" a="1"/>
  <c r="K7" i="4" s="1"/>
  <c r="K8" i="4" s="1" a="1"/>
  <c r="K8" i="4" s="1"/>
  <c r="K9" i="4" a="1"/>
  <c r="K9" i="4"/>
  <c r="K10" i="4" s="1" a="1"/>
  <c r="K10" i="4" s="1"/>
  <c r="K11" i="4" a="1"/>
  <c r="K11" i="4" s="1"/>
  <c r="K12" i="4" s="1" a="1"/>
  <c r="K12" i="4" s="1"/>
  <c r="K13" i="4" a="1"/>
  <c r="K13" i="4" s="1"/>
  <c r="K14" i="4" s="1" a="1"/>
  <c r="K14" i="4" s="1"/>
  <c r="K15" i="4" a="1"/>
  <c r="K15" i="4" s="1"/>
  <c r="K16" i="4" s="1" a="1"/>
  <c r="K16" i="4" s="1"/>
  <c r="K17" i="4" a="1"/>
  <c r="K17" i="4" s="1"/>
  <c r="K18" i="4" s="1" a="1"/>
  <c r="K18" i="4" s="1"/>
  <c r="K19" i="4" a="1"/>
  <c r="K19" i="4" s="1"/>
  <c r="K20" i="4" s="1" a="1"/>
  <c r="K20" i="4" s="1"/>
  <c r="K21" i="4" a="1"/>
  <c r="K21" i="4" s="1"/>
  <c r="K22" i="4" s="1" a="1"/>
  <c r="K22" i="4" s="1"/>
  <c r="K23" i="4" a="1"/>
  <c r="K23" i="4" s="1"/>
  <c r="K24" i="4" a="1"/>
  <c r="K24" i="4" s="1"/>
  <c r="K25" i="4" a="1"/>
  <c r="K25" i="4" s="1"/>
  <c r="K26" i="4" a="1"/>
  <c r="K26" i="4" s="1"/>
  <c r="K27" i="4" a="1"/>
  <c r="K27" i="4" s="1"/>
  <c r="K28" i="4" a="1"/>
  <c r="K28" i="4" s="1"/>
  <c r="K29" i="4" a="1"/>
  <c r="K29" i="4" s="1"/>
  <c r="K30" i="4" a="1"/>
  <c r="K30" i="4" s="1"/>
  <c r="K31" i="4" s="1" a="1"/>
  <c r="K31" i="4" s="1"/>
  <c r="K32" i="4" a="1"/>
  <c r="K32" i="4" s="1"/>
  <c r="K33" i="4" a="1"/>
  <c r="K33" i="4" s="1"/>
  <c r="K34" i="4" a="1"/>
  <c r="K34" i="4" s="1"/>
  <c r="K35" i="4" a="1"/>
  <c r="K35" i="4" s="1"/>
  <c r="K36" i="4" a="1"/>
  <c r="K36" i="4" s="1"/>
  <c r="K37" i="4" s="1" a="1"/>
  <c r="K37" i="4" s="1"/>
  <c r="K38" i="4" a="1"/>
  <c r="K38" i="4" s="1"/>
  <c r="K39" i="4" s="1" a="1"/>
  <c r="K39" i="4" s="1"/>
  <c r="K3" i="4" a="1"/>
  <c r="K3" i="4" s="1"/>
  <c r="K4" i="4" s="1" a="1"/>
  <c r="K4" i="4" s="1"/>
  <c r="R3" i="2" a="1"/>
  <c r="R3" i="2" s="1"/>
  <c r="R4" i="2" a="1"/>
  <c r="R4" i="2"/>
  <c r="R5" i="2" a="1"/>
  <c r="R5" i="2"/>
  <c r="R6" i="2" a="1"/>
  <c r="R6" i="2" s="1"/>
  <c r="R7" i="2" a="1"/>
  <c r="R7" i="2"/>
  <c r="R8" i="2" a="1"/>
  <c r="R8" i="2" s="1"/>
  <c r="R9" i="2" a="1"/>
  <c r="R9" i="2"/>
  <c r="R10" i="2" a="1"/>
  <c r="R10" i="2" s="1"/>
  <c r="R11" i="2" a="1"/>
  <c r="R11" i="2"/>
  <c r="R12" i="2" a="1"/>
  <c r="R12" i="2"/>
  <c r="R13" i="2" a="1"/>
  <c r="R13" i="2" s="1"/>
  <c r="R14" i="2" a="1"/>
  <c r="R14" i="2"/>
  <c r="R15" i="2" a="1"/>
  <c r="R15" i="2" s="1"/>
  <c r="R16" i="2" a="1"/>
  <c r="R16" i="2"/>
  <c r="R17" i="2" a="1"/>
  <c r="R17" i="2" s="1"/>
  <c r="R18" i="2" a="1"/>
  <c r="R18" i="2"/>
  <c r="R19" i="2" a="1"/>
  <c r="R19" i="2"/>
  <c r="R20" i="2" a="1"/>
  <c r="R20" i="2" s="1"/>
  <c r="R21" i="2" a="1"/>
  <c r="R21" i="2"/>
  <c r="R22" i="2" a="1"/>
  <c r="R22" i="2" s="1"/>
  <c r="R23" i="2" a="1"/>
  <c r="R23" i="2"/>
  <c r="R24" i="2" a="1"/>
  <c r="R24" i="2" s="1"/>
  <c r="R25" i="2" a="1"/>
  <c r="R25" i="2"/>
  <c r="R26" i="2" a="1"/>
  <c r="R26" i="2"/>
  <c r="R27" i="2" a="1"/>
  <c r="R27" i="2" s="1"/>
  <c r="R28" i="2" a="1"/>
  <c r="R28" i="2"/>
  <c r="R29" i="2" a="1"/>
  <c r="R29" i="2" s="1"/>
  <c r="R30" i="2" a="1"/>
  <c r="R30" i="2"/>
  <c r="R31" i="2" a="1"/>
  <c r="R31" i="2" s="1"/>
  <c r="R32" i="2" a="1"/>
  <c r="R32" i="2"/>
  <c r="R33" i="2" a="1"/>
  <c r="R33" i="2"/>
  <c r="T3" i="3" a="1"/>
  <c r="T3" i="3" s="1"/>
  <c r="T4" i="3" a="1"/>
  <c r="T4" i="3" s="1"/>
  <c r="T5" i="3" a="1"/>
  <c r="T5" i="3" s="1"/>
  <c r="T6" i="3" a="1"/>
  <c r="T6" i="3"/>
  <c r="T7" i="3" a="1"/>
  <c r="T7" i="3"/>
  <c r="T8" i="3" a="1"/>
  <c r="T8" i="3"/>
  <c r="T9" i="3" a="1"/>
  <c r="T9" i="3"/>
  <c r="T10" i="3" a="1"/>
  <c r="T10" i="3" s="1"/>
  <c r="T11" i="3" a="1"/>
  <c r="T11" i="3" s="1"/>
  <c r="T12" i="3" a="1"/>
  <c r="T12" i="3" s="1"/>
  <c r="T13" i="3" a="1"/>
  <c r="T13" i="3"/>
  <c r="T14" i="3" a="1"/>
  <c r="T14" i="3"/>
  <c r="T15" i="3" a="1"/>
  <c r="T15" i="3"/>
  <c r="T16" i="3" a="1"/>
  <c r="T16" i="3"/>
  <c r="T17" i="3" a="1"/>
  <c r="T17" i="3" s="1"/>
  <c r="T18" i="3" a="1"/>
  <c r="T18" i="3" s="1"/>
  <c r="T19" i="3" a="1"/>
  <c r="T19" i="3" s="1"/>
  <c r="T20" i="3" a="1"/>
  <c r="T20" i="3"/>
  <c r="T21" i="3" a="1"/>
  <c r="T21" i="3"/>
  <c r="T22" i="3" a="1"/>
  <c r="T22" i="3"/>
  <c r="T23" i="3" a="1"/>
  <c r="T23" i="3"/>
  <c r="T24" i="3" a="1"/>
  <c r="T24" i="3" s="1"/>
  <c r="T25" i="3" a="1"/>
  <c r="T25" i="3" s="1"/>
  <c r="T26" i="3" a="1"/>
  <c r="T26" i="3" s="1"/>
  <c r="T27" i="3" a="1"/>
  <c r="T27" i="3"/>
  <c r="T28" i="3" a="1"/>
  <c r="T28" i="3"/>
  <c r="T29" i="3" a="1"/>
  <c r="T29" i="3"/>
  <c r="T30" i="3" a="1"/>
  <c r="T30" i="3"/>
  <c r="T31" i="3" a="1"/>
  <c r="T31" i="3" s="1"/>
  <c r="T32" i="3" a="1"/>
  <c r="T32" i="3" s="1"/>
  <c r="T33" i="3" a="1"/>
  <c r="T33" i="3" s="1"/>
  <c r="T34" i="3" a="1"/>
  <c r="T34" i="3"/>
  <c r="T35" i="3" a="1"/>
  <c r="T35" i="3"/>
  <c r="T36" i="3" a="1"/>
  <c r="T36" i="3"/>
  <c r="T37" i="3" a="1"/>
  <c r="T37" i="3"/>
  <c r="T38" i="3" a="1"/>
  <c r="T38" i="3" s="1"/>
  <c r="T39" i="3" a="1"/>
  <c r="T39" i="3" s="1"/>
  <c r="T40" i="3" a="1"/>
  <c r="T40" i="3" s="1"/>
  <c r="T41" i="3" a="1"/>
  <c r="T41" i="3"/>
  <c r="T42" i="3" a="1"/>
  <c r="T42" i="3"/>
  <c r="T43" i="3" a="1"/>
  <c r="T43" i="3"/>
  <c r="T44" i="3" a="1"/>
  <c r="T44" i="3"/>
  <c r="T45" i="3" a="1"/>
  <c r="T45" i="3" s="1"/>
  <c r="T46" i="3" a="1"/>
  <c r="T46" i="3" s="1"/>
  <c r="T47" i="3" a="1"/>
  <c r="T47" i="3" s="1"/>
  <c r="T48" i="3" a="1"/>
  <c r="T48" i="3"/>
  <c r="T49" i="3" a="1"/>
  <c r="T49" i="3"/>
  <c r="T50" i="3" a="1"/>
  <c r="T50" i="3"/>
  <c r="T51" i="3" a="1"/>
  <c r="T51" i="3"/>
  <c r="T52" i="3" a="1"/>
  <c r="T52" i="3" s="1"/>
  <c r="T53" i="3" a="1"/>
  <c r="T53" i="3" s="1"/>
  <c r="T54" i="3" a="1"/>
  <c r="T54" i="3" s="1"/>
  <c r="T55" i="3" a="1"/>
  <c r="T55" i="3"/>
  <c r="T56" i="3" a="1"/>
  <c r="T56" i="3"/>
  <c r="T57" i="3" a="1"/>
  <c r="T57" i="3"/>
  <c r="T58" i="3" a="1"/>
  <c r="T58" i="3"/>
  <c r="T59" i="3" a="1"/>
  <c r="T59" i="3" s="1"/>
  <c r="T60" i="3" a="1"/>
  <c r="T60" i="3" s="1"/>
  <c r="T61" i="3" a="1"/>
  <c r="T61" i="3" s="1"/>
  <c r="T62" i="3" a="1"/>
  <c r="T62" i="3"/>
  <c r="T63" i="3" a="1"/>
  <c r="T63" i="3"/>
  <c r="T64" i="3" a="1"/>
  <c r="T64" i="3"/>
  <c r="T65" i="3" a="1"/>
  <c r="T65" i="3"/>
  <c r="T66" i="3" a="1"/>
  <c r="T66" i="3" s="1"/>
  <c r="T67" i="3" a="1"/>
  <c r="T67" i="3" s="1"/>
  <c r="T68" i="3" a="1"/>
  <c r="T68" i="3" s="1"/>
  <c r="T69" i="3" a="1"/>
  <c r="T69" i="3"/>
  <c r="T70" i="3" a="1"/>
  <c r="T70" i="3"/>
  <c r="T71" i="3" a="1"/>
  <c r="T71" i="3"/>
  <c r="T72" i="3" a="1"/>
  <c r="T72" i="3"/>
  <c r="T73" i="3" a="1"/>
  <c r="T73" i="3" s="1"/>
  <c r="T74" i="3" a="1"/>
  <c r="T74" i="3" s="1"/>
  <c r="T75" i="3" a="1"/>
  <c r="T75" i="3" s="1"/>
  <c r="T76" i="3" a="1"/>
  <c r="T76" i="3"/>
  <c r="T77" i="3" a="1"/>
  <c r="T77" i="3"/>
  <c r="T78" i="3" a="1"/>
  <c r="T78" i="3"/>
  <c r="T79" i="3" a="1"/>
  <c r="T79" i="3"/>
  <c r="T80" i="3" a="1"/>
  <c r="T80" i="3" s="1"/>
  <c r="T81" i="3" a="1"/>
  <c r="T81" i="3" s="1"/>
  <c r="T82" i="3" a="1"/>
  <c r="T82" i="3" s="1"/>
  <c r="T83" i="3" a="1"/>
  <c r="T83" i="3"/>
  <c r="T84" i="3" a="1"/>
  <c r="T84" i="3"/>
  <c r="T85" i="3" a="1"/>
  <c r="T85" i="3"/>
  <c r="T86" i="3" a="1"/>
  <c r="T86" i="3"/>
  <c r="T87" i="3" a="1"/>
  <c r="T87" i="3" s="1"/>
  <c r="T88" i="3" a="1"/>
  <c r="T88" i="3" s="1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O3" i="1" a="1"/>
  <c r="O3" i="1" s="1"/>
  <c r="O4" i="1" a="1"/>
  <c r="O4" i="1"/>
  <c r="O5" i="1" a="1"/>
  <c r="O5" i="1"/>
  <c r="O6" i="1" a="1"/>
  <c r="O6" i="1"/>
  <c r="P6" i="1" s="1" a="1"/>
  <c r="O7" i="1" a="1"/>
  <c r="O7" i="1"/>
  <c r="O8" i="1" a="1"/>
  <c r="O8" i="1"/>
  <c r="O9" i="1" a="1"/>
  <c r="O9" i="1"/>
  <c r="P9" i="1" s="1" a="1"/>
  <c r="P9" i="1" s="1"/>
  <c r="O10" i="1" a="1"/>
  <c r="O10" i="1" s="1"/>
  <c r="O11" i="1" a="1"/>
  <c r="O11" i="1"/>
  <c r="O12" i="1" a="1"/>
  <c r="O12" i="1"/>
  <c r="O13" i="1" a="1"/>
  <c r="O13" i="1"/>
  <c r="P13" i="1" s="1" a="1"/>
  <c r="P13" i="1" s="1"/>
  <c r="O14" i="1" a="1"/>
  <c r="O14" i="1"/>
  <c r="P14" i="1" s="1" a="1"/>
  <c r="P14" i="1" s="1"/>
  <c r="O15" i="1" a="1"/>
  <c r="O15" i="1"/>
  <c r="P15" i="1" s="1" a="1"/>
  <c r="P15" i="1" s="1"/>
  <c r="O16" i="1" a="1"/>
  <c r="O16" i="1" s="1"/>
  <c r="P16" i="1" s="1" a="1"/>
  <c r="P16" i="1" s="1"/>
  <c r="O17" i="1" a="1"/>
  <c r="O17" i="1" s="1"/>
  <c r="P17" i="1" s="1" a="1"/>
  <c r="P17" i="1" s="1"/>
  <c r="O18" i="1" a="1"/>
  <c r="O18" i="1"/>
  <c r="O19" i="1" a="1"/>
  <c r="O19" i="1"/>
  <c r="O20" i="1" a="1"/>
  <c r="O20" i="1"/>
  <c r="O21" i="1" a="1"/>
  <c r="O21" i="1"/>
  <c r="O22" i="1" a="1"/>
  <c r="O22" i="1"/>
  <c r="P22" i="1" s="1" a="1"/>
  <c r="P22" i="1" s="1"/>
  <c r="O23" i="1" a="1"/>
  <c r="O23" i="1"/>
  <c r="P23" i="1" s="1" a="1"/>
  <c r="P23" i="1" s="1"/>
  <c r="O24" i="1" a="1"/>
  <c r="O24" i="1" s="1"/>
  <c r="O25" i="1" a="1"/>
  <c r="O25" i="1"/>
  <c r="P25" i="1" s="1" a="1"/>
  <c r="P25" i="1" s="1"/>
  <c r="O26" i="1" a="1"/>
  <c r="O26" i="1" s="1"/>
  <c r="P26" i="1" s="1" a="1"/>
  <c r="P26" i="1" s="1"/>
  <c r="O27" i="1" a="1"/>
  <c r="O27" i="1"/>
  <c r="P27" i="1" s="1" a="1"/>
  <c r="P27" i="1" s="1"/>
  <c r="O28" i="1" a="1"/>
  <c r="O28" i="1"/>
  <c r="P28" i="1" s="1" a="1"/>
  <c r="O29" i="1" a="1"/>
  <c r="O29" i="1"/>
  <c r="P29" i="1" s="1" a="1"/>
  <c r="P29" i="1" s="1"/>
  <c r="O30" i="1" a="1"/>
  <c r="O30" i="1"/>
  <c r="O31" i="1" a="1"/>
  <c r="O31" i="1" s="1"/>
  <c r="O32" i="1" a="1"/>
  <c r="O32" i="1"/>
  <c r="O33" i="1" a="1"/>
  <c r="O33" i="1" s="1"/>
  <c r="P33" i="1" s="1" a="1"/>
  <c r="P33" i="1" s="1"/>
  <c r="O34" i="1" a="1"/>
  <c r="O34" i="1"/>
  <c r="O35" i="1" a="1"/>
  <c r="O35" i="1"/>
  <c r="P35" i="1" s="1" a="1"/>
  <c r="P35" i="1" s="1"/>
  <c r="O36" i="1" a="1"/>
  <c r="O36" i="1" s="1"/>
  <c r="P36" i="1" s="1" a="1"/>
  <c r="P36" i="1" s="1"/>
  <c r="O37" i="1" a="1"/>
  <c r="O37" i="1"/>
  <c r="P37" i="1" s="1" a="1"/>
  <c r="P37" i="1" s="1"/>
  <c r="O38" i="1" a="1"/>
  <c r="O38" i="1" s="1"/>
  <c r="P38" i="1" s="1" a="1"/>
  <c r="P38" i="1" s="1"/>
  <c r="O39" i="1" a="1"/>
  <c r="O39" i="1"/>
  <c r="O40" i="1" a="1"/>
  <c r="O40" i="1"/>
  <c r="P40" i="1" s="1" a="1"/>
  <c r="P40" i="1" s="1"/>
  <c r="O41" i="1" a="1"/>
  <c r="O41" i="1" s="1"/>
  <c r="P41" i="1" s="1" a="1"/>
  <c r="P41" i="1" s="1"/>
  <c r="O42" i="1" a="1"/>
  <c r="O42" i="1"/>
  <c r="O43" i="1" a="1"/>
  <c r="O43" i="1"/>
  <c r="P43" i="1" s="1" a="1"/>
  <c r="P43" i="1" s="1"/>
  <c r="O44" i="1" a="1"/>
  <c r="O44" i="1" s="1"/>
  <c r="P44" i="1" s="1" a="1"/>
  <c r="P44" i="1" s="1"/>
  <c r="O45" i="1" a="1"/>
  <c r="O45" i="1" s="1"/>
  <c r="P45" i="1" s="1" a="1"/>
  <c r="O46" i="1" a="1"/>
  <c r="O46" i="1"/>
  <c r="P46" i="1" s="1" a="1"/>
  <c r="P46" i="1" s="1"/>
  <c r="O47" i="1" a="1"/>
  <c r="O47" i="1"/>
  <c r="O48" i="1" a="1"/>
  <c r="O48" i="1" s="1"/>
  <c r="P48" i="1" s="1" a="1"/>
  <c r="P48" i="1" s="1"/>
  <c r="O49" i="1" a="1"/>
  <c r="O49" i="1"/>
  <c r="O50" i="1" a="1"/>
  <c r="O50" i="1"/>
  <c r="O51" i="1" a="1"/>
  <c r="O51" i="1"/>
  <c r="O52" i="1" a="1"/>
  <c r="O52" i="1" s="1"/>
  <c r="P52" i="1" s="1" a="1"/>
  <c r="P52" i="1" s="1"/>
  <c r="O53" i="1" a="1"/>
  <c r="O53" i="1"/>
  <c r="P53" i="1" s="1" a="1"/>
  <c r="O54" i="1" a="1"/>
  <c r="O54" i="1" s="1"/>
  <c r="O55" i="1" a="1"/>
  <c r="O55" i="1"/>
  <c r="O56" i="1" a="1"/>
  <c r="O56" i="1" s="1"/>
  <c r="P56" i="1" s="1" a="1"/>
  <c r="P56" i="1" s="1"/>
  <c r="O57" i="1" a="1"/>
  <c r="O57" i="1"/>
  <c r="O58" i="1" a="1"/>
  <c r="O58" i="1"/>
  <c r="P58" i="1" s="1" a="1"/>
  <c r="P58" i="1" s="1"/>
  <c r="O59" i="1" a="1"/>
  <c r="O59" i="1" s="1"/>
  <c r="P59" i="1" s="1" a="1"/>
  <c r="P59" i="1" s="1"/>
  <c r="O60" i="1" a="1"/>
  <c r="O60" i="1"/>
  <c r="P60" i="1" s="1" a="1"/>
  <c r="P60" i="1" s="1"/>
  <c r="O61" i="1" a="1"/>
  <c r="O61" i="1" s="1"/>
  <c r="P61" i="1" s="1" a="1"/>
  <c r="P61" i="1" s="1"/>
  <c r="O62" i="1" a="1"/>
  <c r="O62" i="1"/>
  <c r="O63" i="1" a="1"/>
  <c r="O63" i="1" s="1"/>
  <c r="O64" i="1" a="1"/>
  <c r="O64" i="1"/>
  <c r="O65" i="1" a="1"/>
  <c r="O65" i="1"/>
  <c r="O66" i="1" a="1"/>
  <c r="O66" i="1" s="1"/>
  <c r="P66" i="1" s="1" a="1"/>
  <c r="P66" i="1" s="1"/>
  <c r="O67" i="1" a="1"/>
  <c r="O67" i="1"/>
  <c r="P67" i="1" s="1" a="1"/>
  <c r="P67" i="1" s="1"/>
  <c r="O68" i="1" a="1"/>
  <c r="O68" i="1"/>
  <c r="P68" i="1" s="1" a="1"/>
  <c r="P68" i="1" s="1"/>
  <c r="O69" i="1" a="1"/>
  <c r="O69" i="1" s="1"/>
  <c r="P69" i="1" s="1" a="1"/>
  <c r="O70" i="1" a="1"/>
  <c r="O70" i="1"/>
  <c r="P70" i="1" s="1" a="1"/>
  <c r="P70" i="1" s="1"/>
  <c r="O71" i="1" a="1"/>
  <c r="O71" i="1" s="1"/>
  <c r="P71" i="1" s="1" a="1"/>
  <c r="P71" i="1" s="1"/>
  <c r="O72" i="1" a="1"/>
  <c r="O72" i="1"/>
  <c r="O73" i="1" a="1"/>
  <c r="O73" i="1" s="1"/>
  <c r="O74" i="1" a="1"/>
  <c r="O74" i="1"/>
  <c r="P74" i="1" s="1" a="1"/>
  <c r="P74" i="1" s="1"/>
  <c r="O75" i="1" a="1"/>
  <c r="O75" i="1"/>
  <c r="P75" i="1" s="1" a="1"/>
  <c r="P75" i="1" s="1"/>
  <c r="O76" i="1" a="1"/>
  <c r="O76" i="1" s="1"/>
  <c r="P76" i="1" s="1" a="1"/>
  <c r="P76" i="1" s="1"/>
  <c r="O77" i="1" a="1"/>
  <c r="O77" i="1"/>
  <c r="O78" i="1" a="1"/>
  <c r="O78" i="1" s="1"/>
  <c r="O79" i="1" a="1"/>
  <c r="O79" i="1"/>
  <c r="O80" i="1" a="1"/>
  <c r="O80" i="1" s="1"/>
  <c r="O81" i="1" a="1"/>
  <c r="O81" i="1"/>
  <c r="P81" i="1" s="1" a="1"/>
  <c r="P81" i="1" s="1"/>
  <c r="O82" i="1" a="1"/>
  <c r="O82" i="1"/>
  <c r="P82" i="1" s="1" a="1"/>
  <c r="P82" i="1" s="1"/>
  <c r="O83" i="1" a="1"/>
  <c r="O83" i="1"/>
  <c r="P83" i="1" s="1" a="1"/>
  <c r="P83" i="1" s="1"/>
  <c r="O84" i="1" a="1"/>
  <c r="O84" i="1" s="1"/>
  <c r="P84" i="1" s="1" a="1"/>
  <c r="P84" i="1" s="1"/>
  <c r="O85" i="1" a="1"/>
  <c r="O85" i="1"/>
  <c r="P85" i="1" s="1" a="1"/>
  <c r="P85" i="1" s="1"/>
  <c r="O86" i="1" a="1"/>
  <c r="O86" i="1" s="1"/>
  <c r="O87" i="1" a="1"/>
  <c r="O87" i="1" s="1"/>
  <c r="O88" i="1" a="1"/>
  <c r="O88" i="1"/>
  <c r="O89" i="1" a="1"/>
  <c r="O89" i="1"/>
  <c r="O90" i="1" a="1"/>
  <c r="O90" i="1"/>
  <c r="O91" i="1" a="1"/>
  <c r="O91" i="1"/>
  <c r="P91" i="1" s="1" a="1"/>
  <c r="O92" i="1" a="1"/>
  <c r="O92" i="1"/>
  <c r="P92" i="1" s="1" a="1"/>
  <c r="P92" i="1" s="1"/>
  <c r="O93" i="1" a="1"/>
  <c r="O93" i="1" s="1"/>
  <c r="P93" i="1" s="1" a="1"/>
  <c r="P93" i="1" s="1"/>
  <c r="O94" i="1" a="1"/>
  <c r="O94" i="1" s="1"/>
  <c r="O95" i="1" a="1"/>
  <c r="O95" i="1"/>
  <c r="O96" i="1" a="1"/>
  <c r="O96" i="1"/>
  <c r="P96" i="1" s="1" a="1"/>
  <c r="P96" i="1" s="1"/>
  <c r="O97" i="1" a="1"/>
  <c r="O97" i="1"/>
  <c r="P97" i="1" s="1" a="1"/>
  <c r="P97" i="1" s="1"/>
  <c r="O98" i="1" a="1"/>
  <c r="O98" i="1"/>
  <c r="P98" i="1" s="1" a="1"/>
  <c r="P98" i="1" s="1"/>
  <c r="O99" i="1" a="1"/>
  <c r="O99" i="1" s="1"/>
  <c r="P99" i="1" s="1" a="1"/>
  <c r="P99" i="1" s="1"/>
  <c r="O100" i="1" a="1"/>
  <c r="O100" i="1"/>
  <c r="P100" i="1" s="1" a="1"/>
  <c r="P100" i="1" s="1"/>
  <c r="O101" i="1" a="1"/>
  <c r="O101" i="1" s="1"/>
  <c r="O102" i="1" a="1"/>
  <c r="O102" i="1"/>
  <c r="O103" i="1" a="1"/>
  <c r="O103" i="1"/>
  <c r="O104" i="1" a="1"/>
  <c r="O104" i="1"/>
  <c r="P104" i="1" s="1" a="1"/>
  <c r="P104" i="1" s="1"/>
  <c r="O105" i="1" a="1"/>
  <c r="O105" i="1"/>
  <c r="P105" i="1" s="1" a="1"/>
  <c r="P105" i="1" s="1"/>
  <c r="O106" i="1" a="1"/>
  <c r="O106" i="1"/>
  <c r="P106" i="1" s="1" a="1"/>
  <c r="P106" i="1" s="1"/>
  <c r="O107" i="1" a="1"/>
  <c r="O107" i="1"/>
  <c r="P107" i="1" s="1" a="1"/>
  <c r="P107" i="1" s="1"/>
  <c r="O108" i="1" a="1"/>
  <c r="O108" i="1" s="1"/>
  <c r="P108" i="1" s="1" a="1"/>
  <c r="P108" i="1" s="1"/>
  <c r="O109" i="1" a="1"/>
  <c r="O109" i="1" s="1"/>
  <c r="P109" i="1" s="1" a="1"/>
  <c r="P109" i="1" s="1"/>
  <c r="O110" i="1" a="1"/>
  <c r="O110" i="1"/>
  <c r="O111" i="1" a="1"/>
  <c r="O111" i="1" s="1"/>
  <c r="P111" i="1" s="1" a="1"/>
  <c r="P111" i="1" s="1"/>
  <c r="O112" i="1" a="1"/>
  <c r="O112" i="1"/>
  <c r="P112" i="1" s="1" a="1"/>
  <c r="O113" i="1" a="1"/>
  <c r="O113" i="1"/>
  <c r="O114" i="1" a="1"/>
  <c r="O114" i="1" s="1"/>
  <c r="O115" i="1" a="1"/>
  <c r="O115" i="1" s="1"/>
  <c r="P115" i="1" s="1" a="1"/>
  <c r="P115" i="1" s="1"/>
  <c r="O116" i="1" a="1"/>
  <c r="O116" i="1" s="1"/>
  <c r="O117" i="1" a="1"/>
  <c r="O117" i="1"/>
  <c r="P117" i="1" s="1" a="1"/>
  <c r="P117" i="1" s="1"/>
  <c r="O118" i="1" a="1"/>
  <c r="O118" i="1"/>
  <c r="O119" i="1" a="1"/>
  <c r="O119" i="1" s="1"/>
  <c r="P119" i="1" s="1" a="1"/>
  <c r="P119" i="1" s="1"/>
  <c r="O120" i="1" a="1"/>
  <c r="O120" i="1"/>
  <c r="P120" i="1" s="1" a="1"/>
  <c r="P120" i="1" s="1"/>
  <c r="O121" i="1" a="1"/>
  <c r="O121" i="1"/>
  <c r="P121" i="1" s="1" a="1"/>
  <c r="P121" i="1" s="1"/>
  <c r="O122" i="1" a="1"/>
  <c r="O122" i="1" s="1"/>
  <c r="O123" i="1" a="1"/>
  <c r="O123" i="1"/>
  <c r="P123" i="1" s="1" a="1"/>
  <c r="P123" i="1" s="1"/>
  <c r="O124" i="1" a="1"/>
  <c r="O124" i="1" s="1"/>
  <c r="P124" i="1" s="1" a="1"/>
  <c r="P124" i="1" s="1"/>
  <c r="O125" i="1" a="1"/>
  <c r="O125" i="1"/>
  <c r="P125" i="1" s="1" a="1"/>
  <c r="P125" i="1" s="1"/>
  <c r="O126" i="1" a="1"/>
  <c r="O126" i="1" s="1"/>
  <c r="P126" i="1" s="1" a="1"/>
  <c r="P126" i="1" s="1"/>
  <c r="O127" i="1" a="1"/>
  <c r="O127" i="1" s="1"/>
  <c r="P127" i="1" s="1" a="1"/>
  <c r="P127" i="1" s="1"/>
  <c r="O128" i="1" a="1"/>
  <c r="O128" i="1"/>
  <c r="O129" i="1" a="1"/>
  <c r="O129" i="1" s="1"/>
  <c r="O130" i="1" a="1"/>
  <c r="O130" i="1"/>
  <c r="O131" i="1" a="1"/>
  <c r="O131" i="1" s="1"/>
  <c r="P131" i="1" s="1" a="1"/>
  <c r="P131" i="1" s="1"/>
  <c r="O132" i="1" a="1"/>
  <c r="O132" i="1"/>
  <c r="O133" i="1" a="1"/>
  <c r="O133" i="1"/>
  <c r="P133" i="1" s="1" a="1"/>
  <c r="P133" i="1" s="1"/>
  <c r="O134" i="1" a="1"/>
  <c r="O134" i="1" s="1"/>
  <c r="P134" i="1" s="1" a="1"/>
  <c r="P134" i="1" s="1"/>
  <c r="O135" i="1" a="1"/>
  <c r="O135" i="1" s="1"/>
  <c r="P135" i="1" s="1" a="1"/>
  <c r="P135" i="1" s="1"/>
  <c r="O136" i="1" a="1"/>
  <c r="O136" i="1" s="1"/>
  <c r="O137" i="1" a="1"/>
  <c r="O137" i="1" s="1"/>
  <c r="O138" i="1" a="1"/>
  <c r="O138" i="1"/>
  <c r="O139" i="1" a="1"/>
  <c r="O139" i="1" s="1"/>
  <c r="P139" i="1" s="1" a="1"/>
  <c r="P139" i="1" s="1"/>
  <c r="O140" i="1" a="1"/>
  <c r="O140" i="1"/>
  <c r="O141" i="1" a="1"/>
  <c r="O141" i="1"/>
  <c r="P141" i="1" s="1" a="1"/>
  <c r="P141" i="1" s="1"/>
  <c r="O142" i="1" a="1"/>
  <c r="O142" i="1"/>
  <c r="P142" i="1" s="1" a="1"/>
  <c r="P142" i="1" s="1"/>
  <c r="O143" i="1" a="1"/>
  <c r="O143" i="1" s="1"/>
  <c r="P143" i="1" s="1" a="1"/>
  <c r="O144" i="1" a="1"/>
  <c r="O144" i="1" s="1"/>
  <c r="P144" i="1" s="1" a="1"/>
  <c r="P144" i="1" s="1"/>
  <c r="O145" i="1" a="1"/>
  <c r="O145" i="1"/>
  <c r="O146" i="1" a="1"/>
  <c r="O146" i="1" s="1"/>
  <c r="P146" i="1" s="1" a="1"/>
  <c r="P146" i="1" s="1"/>
  <c r="O147" i="1" a="1"/>
  <c r="O147" i="1"/>
  <c r="O148" i="1" a="1"/>
  <c r="O148" i="1"/>
  <c r="P148" i="1" s="1" a="1"/>
  <c r="P148" i="1" s="1"/>
  <c r="O149" i="1" a="1"/>
  <c r="O149" i="1"/>
  <c r="P149" i="1" s="1" a="1"/>
  <c r="P149" i="1" s="1"/>
  <c r="O150" i="1" a="1"/>
  <c r="O150" i="1" s="1"/>
  <c r="P150" i="1" s="1" a="1"/>
  <c r="P150" i="1" s="1"/>
  <c r="O151" i="1" a="1"/>
  <c r="O151" i="1" s="1"/>
  <c r="P151" i="1" s="1" a="1"/>
  <c r="P151" i="1" s="1"/>
  <c r="O152" i="1" a="1"/>
  <c r="O152" i="1" s="1"/>
  <c r="O153" i="1" a="1"/>
  <c r="O153" i="1"/>
  <c r="O154" i="1" a="1"/>
  <c r="O154" i="1" s="1"/>
  <c r="O155" i="1" a="1"/>
  <c r="O155" i="1"/>
  <c r="O156" i="1" a="1"/>
  <c r="O156" i="1"/>
  <c r="P156" i="1" s="1" a="1"/>
  <c r="P156" i="1" s="1"/>
  <c r="O157" i="1" a="1"/>
  <c r="O157" i="1" s="1"/>
  <c r="P157" i="1" s="1" a="1"/>
  <c r="P157" i="1" s="1"/>
  <c r="O158" i="1" a="1"/>
  <c r="O158" i="1"/>
  <c r="P158" i="1" s="1" a="1"/>
  <c r="P158" i="1" s="1"/>
  <c r="O159" i="1" a="1"/>
  <c r="O159" i="1"/>
  <c r="P159" i="1" s="1" a="1"/>
  <c r="P159" i="1" s="1"/>
  <c r="O160" i="1" a="1"/>
  <c r="O160" i="1"/>
  <c r="O161" i="1" a="1"/>
  <c r="O161" i="1" s="1"/>
  <c r="O162" i="1" a="1"/>
  <c r="O162" i="1"/>
  <c r="O163" i="1" a="1"/>
  <c r="O163" i="1"/>
  <c r="O164" i="1" a="1"/>
  <c r="O164" i="1" s="1"/>
  <c r="P164" i="1" s="1" a="1"/>
  <c r="P164" i="1" s="1"/>
  <c r="O165" i="1" a="1"/>
  <c r="O165" i="1"/>
  <c r="P165" i="1" s="1" a="1"/>
  <c r="P165" i="1" s="1"/>
  <c r="O166" i="1" a="1"/>
  <c r="O166" i="1"/>
  <c r="P166" i="1" s="1" a="1"/>
  <c r="P166" i="1" s="1"/>
  <c r="O167" i="1" a="1"/>
  <c r="O167" i="1" s="1"/>
  <c r="P167" i="1" s="1" a="1"/>
  <c r="P167" i="1" s="1"/>
  <c r="O168" i="1" a="1"/>
  <c r="O168" i="1"/>
  <c r="O169" i="1" a="1"/>
  <c r="O169" i="1" s="1"/>
  <c r="P169" i="1" s="1" a="1"/>
  <c r="P169" i="1" s="1"/>
  <c r="O170" i="1" a="1"/>
  <c r="O170" i="1"/>
  <c r="O171" i="1" a="1"/>
  <c r="O171" i="1" s="1"/>
  <c r="P171" i="1" s="1" a="1"/>
  <c r="P171" i="1" s="1"/>
  <c r="O172" i="1" a="1"/>
  <c r="O172" i="1"/>
  <c r="P172" i="1" s="1" a="1"/>
  <c r="P172" i="1" s="1"/>
  <c r="O173" i="1" a="1"/>
  <c r="O173" i="1"/>
  <c r="P173" i="1" s="1" a="1"/>
  <c r="P173" i="1" s="1"/>
  <c r="O174" i="1" a="1"/>
  <c r="O174" i="1"/>
  <c r="P174" i="1" s="1" a="1"/>
  <c r="P174" i="1" s="1"/>
  <c r="O175" i="1" a="1"/>
  <c r="O175" i="1"/>
  <c r="P175" i="1" s="1" a="1"/>
  <c r="P175" i="1" s="1"/>
  <c r="O176" i="1" a="1"/>
  <c r="O176" i="1" s="1"/>
  <c r="P176" i="1" s="1" a="1"/>
  <c r="P176" i="1" s="1"/>
  <c r="O177" i="1" a="1"/>
  <c r="O177" i="1"/>
  <c r="O178" i="1" a="1"/>
  <c r="O178" i="1" s="1"/>
  <c r="O179" i="1" a="1"/>
  <c r="O179" i="1"/>
  <c r="O180" i="1" a="1"/>
  <c r="O180" i="1"/>
  <c r="O181" i="1" a="1"/>
  <c r="O181" i="1"/>
  <c r="P181" i="1" s="1" a="1"/>
  <c r="P181" i="1" s="1"/>
  <c r="O182" i="1" a="1"/>
  <c r="O182" i="1" s="1"/>
  <c r="P182" i="1" s="1" a="1"/>
  <c r="P182" i="1" s="1"/>
  <c r="O183" i="1" a="1"/>
  <c r="O183" i="1"/>
  <c r="P183" i="1" s="1" a="1"/>
  <c r="P183" i="1" s="1"/>
  <c r="O184" i="1" a="1"/>
  <c r="O184" i="1" s="1"/>
  <c r="P184" i="1" s="1" a="1"/>
  <c r="P184" i="1" s="1"/>
  <c r="O185" i="1" a="1"/>
  <c r="O185" i="1" s="1"/>
  <c r="O186" i="1" a="1"/>
  <c r="O186" i="1"/>
  <c r="P186" i="1" s="1" a="1"/>
  <c r="P186" i="1" s="1"/>
  <c r="O187" i="1" a="1"/>
  <c r="O187" i="1" s="1"/>
  <c r="P187" i="1" s="1" a="1"/>
  <c r="P187" i="1" s="1"/>
  <c r="O188" i="1" a="1"/>
  <c r="O188" i="1"/>
  <c r="O189" i="1" a="1"/>
  <c r="O189" i="1"/>
  <c r="O190" i="1" a="1"/>
  <c r="O190" i="1"/>
  <c r="P190" i="1" s="1" a="1"/>
  <c r="P190" i="1" s="1"/>
  <c r="O191" i="1" a="1"/>
  <c r="O191" i="1" s="1"/>
  <c r="P191" i="1" s="1" a="1"/>
  <c r="P191" i="1" s="1"/>
  <c r="O192" i="1" a="1"/>
  <c r="O192" i="1" s="1"/>
  <c r="O193" i="1" a="1"/>
  <c r="O193" i="1"/>
  <c r="P193" i="1" s="1" a="1"/>
  <c r="P193" i="1" s="1"/>
  <c r="O194" i="1" a="1"/>
  <c r="O194" i="1"/>
  <c r="P194" i="1" s="1" a="1"/>
  <c r="O195" i="1" a="1"/>
  <c r="O195" i="1" s="1"/>
  <c r="P195" i="1" s="1" a="1"/>
  <c r="P195" i="1" s="1"/>
  <c r="O196" i="1" a="1"/>
  <c r="O196" i="1"/>
  <c r="P196" i="1" s="1" a="1"/>
  <c r="P196" i="1" s="1"/>
  <c r="O197" i="1" a="1"/>
  <c r="O197" i="1" s="1"/>
  <c r="P197" i="1" s="1" a="1"/>
  <c r="P197" i="1" s="1"/>
  <c r="O198" i="1" a="1"/>
  <c r="O198" i="1"/>
  <c r="P198" i="1" s="1" a="1"/>
  <c r="P198" i="1" s="1"/>
  <c r="O199" i="1" a="1"/>
  <c r="O199" i="1" s="1"/>
  <c r="O200" i="1" a="1"/>
  <c r="O200" i="1"/>
  <c r="P200" i="1" s="1" a="1"/>
  <c r="P200" i="1" s="1"/>
  <c r="O201" i="1" a="1"/>
  <c r="O201" i="1"/>
  <c r="P201" i="1" s="1" a="1"/>
  <c r="P201" i="1" s="1"/>
  <c r="O202" i="1" a="1"/>
  <c r="O202" i="1"/>
  <c r="P202" i="1" s="1" a="1"/>
  <c r="P202" i="1" s="1"/>
  <c r="O203" i="1" a="1"/>
  <c r="O203" i="1" s="1"/>
  <c r="P203" i="1" s="1" a="1"/>
  <c r="P203" i="1" s="1"/>
  <c r="O204" i="1" a="1"/>
  <c r="O204" i="1"/>
  <c r="O205" i="1" a="1"/>
  <c r="O205" i="1"/>
  <c r="O206" i="1" a="1"/>
  <c r="O206" i="1" s="1"/>
  <c r="O207" i="1" a="1"/>
  <c r="O207" i="1" s="1"/>
  <c r="P207" i="1" s="1" a="1"/>
  <c r="O208" i="1" a="1"/>
  <c r="O208" i="1"/>
  <c r="O209" i="1" a="1"/>
  <c r="O209" i="1"/>
  <c r="P209" i="1" s="1" a="1"/>
  <c r="P209" i="1" s="1"/>
  <c r="O210" i="1" a="1"/>
  <c r="O210" i="1"/>
  <c r="P210" i="1" s="1" a="1"/>
  <c r="P210" i="1" s="1"/>
  <c r="O211" i="1" a="1"/>
  <c r="O211" i="1" s="1"/>
  <c r="P211" i="1" s="1" a="1"/>
  <c r="P211" i="1" s="1"/>
  <c r="O212" i="1" a="1"/>
  <c r="O212" i="1" s="1"/>
  <c r="O213" i="1" a="1"/>
  <c r="O213" i="1" s="1"/>
  <c r="O214" i="1" a="1"/>
  <c r="O214" i="1" s="1"/>
  <c r="P214" i="1" s="1" a="1"/>
  <c r="P214" i="1" s="1"/>
  <c r="O215" i="1" a="1"/>
  <c r="O215" i="1"/>
  <c r="P215" i="1" s="1" a="1"/>
  <c r="O216" i="1" a="1"/>
  <c r="O216" i="1"/>
  <c r="P216" i="1" s="1" a="1"/>
  <c r="P216" i="1" s="1"/>
  <c r="O217" i="1" a="1"/>
  <c r="O217" i="1"/>
  <c r="P217" i="1" s="1" a="1"/>
  <c r="P217" i="1" s="1"/>
  <c r="O218" i="1" a="1"/>
  <c r="O218" i="1" s="1"/>
  <c r="P218" i="1" s="1" a="1"/>
  <c r="P218" i="1" s="1"/>
  <c r="O219" i="1" a="1"/>
  <c r="O219" i="1" s="1"/>
  <c r="P219" i="1" s="1" a="1"/>
  <c r="P219" i="1" s="1"/>
  <c r="O220" i="1" a="1"/>
  <c r="O220" i="1" s="1"/>
  <c r="O221" i="1" a="1"/>
  <c r="O221" i="1"/>
  <c r="O222" i="1" a="1"/>
  <c r="O222" i="1" s="1"/>
  <c r="P222" i="1" s="1" a="1"/>
  <c r="P222" i="1" s="1"/>
  <c r="O223" i="1" a="1"/>
  <c r="O223" i="1"/>
  <c r="P223" i="1" s="1" a="1"/>
  <c r="O224" i="1" a="1"/>
  <c r="O224" i="1"/>
  <c r="P224" i="1" s="1" a="1"/>
  <c r="P224" i="1" s="1"/>
  <c r="O225" i="1" a="1"/>
  <c r="O225" i="1"/>
  <c r="P225" i="1" s="1" a="1"/>
  <c r="P225" i="1" s="1"/>
  <c r="O226" i="1" a="1"/>
  <c r="O226" i="1" s="1"/>
  <c r="P226" i="1" s="1" a="1"/>
  <c r="P226" i="1" s="1"/>
  <c r="O227" i="1" a="1"/>
  <c r="O227" i="1" s="1"/>
  <c r="O228" i="1" a="1"/>
  <c r="O228" i="1"/>
  <c r="P228" i="1" s="1" a="1"/>
  <c r="P228" i="1" s="1"/>
  <c r="O229" i="1" a="1"/>
  <c r="O229" i="1" s="1"/>
  <c r="P229" i="1" s="1" a="1"/>
  <c r="P229" i="1" s="1"/>
  <c r="O230" i="1" a="1"/>
  <c r="O230" i="1"/>
  <c r="O231" i="1" a="1"/>
  <c r="O231" i="1"/>
  <c r="O232" i="1" a="1"/>
  <c r="O232" i="1"/>
  <c r="O233" i="1" a="1"/>
  <c r="O233" i="1"/>
  <c r="P233" i="1" s="1" a="1"/>
  <c r="P233" i="1" s="1"/>
  <c r="O234" i="1" a="1"/>
  <c r="O234" i="1" s="1"/>
  <c r="O235" i="1" a="1"/>
  <c r="O235" i="1" s="1"/>
  <c r="O236" i="1" a="1"/>
  <c r="O236" i="1"/>
  <c r="P236" i="1" s="1" a="1"/>
  <c r="P236" i="1" s="1"/>
  <c r="O237" i="1" a="1"/>
  <c r="O237" i="1" s="1"/>
  <c r="P237" i="1" s="1" a="1"/>
  <c r="O238" i="1" a="1"/>
  <c r="O238" i="1"/>
  <c r="P238" i="1" s="1" a="1"/>
  <c r="P238" i="1" s="1"/>
  <c r="O239" i="1" a="1"/>
  <c r="O239" i="1"/>
  <c r="P239" i="1" s="1" a="1"/>
  <c r="P239" i="1" s="1"/>
  <c r="O240" i="1" a="1"/>
  <c r="O240" i="1"/>
  <c r="P240" i="1" s="1" a="1"/>
  <c r="P240" i="1" s="1"/>
  <c r="O241" i="1" a="1"/>
  <c r="O241" i="1" s="1"/>
  <c r="P241" i="1" s="1" a="1"/>
  <c r="P241" i="1" s="1"/>
  <c r="O242" i="1" a="1"/>
  <c r="O242" i="1"/>
  <c r="P242" i="1" s="1" a="1"/>
  <c r="P242" i="1" s="1"/>
  <c r="O243" i="1" a="1"/>
  <c r="O243" i="1"/>
  <c r="O244" i="1" a="1"/>
  <c r="O244" i="1" s="1"/>
  <c r="O245" i="1" a="1"/>
  <c r="O245" i="1"/>
  <c r="P245" i="1" s="1" a="1"/>
  <c r="O246" i="1" a="1"/>
  <c r="O246" i="1"/>
  <c r="O247" i="1" a="1"/>
  <c r="O247" i="1"/>
  <c r="P247" i="1" s="1" a="1"/>
  <c r="P247" i="1" s="1"/>
  <c r="O248" i="1" a="1"/>
  <c r="O248" i="1" s="1"/>
  <c r="P248" i="1" s="1" a="1"/>
  <c r="P248" i="1" s="1"/>
  <c r="O249" i="1" a="1"/>
  <c r="O249" i="1"/>
  <c r="O250" i="1" a="1"/>
  <c r="O250" i="1" s="1"/>
  <c r="O251" i="1" a="1"/>
  <c r="O251" i="1"/>
  <c r="P251" i="1" s="1" a="1"/>
  <c r="P251" i="1" s="1"/>
  <c r="O252" i="1" a="1"/>
  <c r="O252" i="1" s="1"/>
  <c r="O253" i="1" a="1"/>
  <c r="O253" i="1"/>
  <c r="O254" i="1" a="1"/>
  <c r="O254" i="1"/>
  <c r="P254" i="1" s="1" a="1"/>
  <c r="O255" i="1" a="1"/>
  <c r="O255" i="1" s="1"/>
  <c r="O256" i="1" a="1"/>
  <c r="O256" i="1"/>
  <c r="P256" i="1" s="1" a="1"/>
  <c r="P256" i="1" s="1"/>
  <c r="O257" i="1" a="1"/>
  <c r="O257" i="1"/>
  <c r="P257" i="1" s="1" a="1"/>
  <c r="P257" i="1" s="1"/>
  <c r="O258" i="1" a="1"/>
  <c r="O258" i="1"/>
  <c r="O259" i="1" a="1"/>
  <c r="O259" i="1" s="1"/>
  <c r="P259" i="1" s="1" a="1"/>
  <c r="P259" i="1" s="1"/>
  <c r="O260" i="1" a="1"/>
  <c r="O260" i="1"/>
  <c r="O261" i="1" a="1"/>
  <c r="O261" i="1"/>
  <c r="O262" i="1" a="1"/>
  <c r="O262" i="1" s="1"/>
  <c r="O263" i="1" a="1"/>
  <c r="O263" i="1"/>
  <c r="P263" i="1" s="1" a="1"/>
  <c r="P263" i="1" s="1"/>
  <c r="O264" i="1" a="1"/>
  <c r="O264" i="1"/>
  <c r="P264" i="1" s="1" a="1"/>
  <c r="P264" i="1" s="1"/>
  <c r="O265" i="1" a="1"/>
  <c r="O265" i="1" s="1"/>
  <c r="P265" i="1" s="1" a="1"/>
  <c r="P265" i="1" s="1"/>
  <c r="O266" i="1" a="1"/>
  <c r="O266" i="1"/>
  <c r="P266" i="1" s="1" a="1"/>
  <c r="P266" i="1" s="1"/>
  <c r="O267" i="1" a="1"/>
  <c r="O267" i="1"/>
  <c r="O268" i="1" a="1"/>
  <c r="O268" i="1"/>
  <c r="O269" i="1" a="1"/>
  <c r="O269" i="1" s="1"/>
  <c r="O270" i="1" a="1"/>
  <c r="O270" i="1" s="1"/>
  <c r="P270" i="1" s="1" a="1"/>
  <c r="P270" i="1" s="1"/>
  <c r="O271" i="1" a="1"/>
  <c r="O271" i="1"/>
  <c r="O272" i="1" a="1"/>
  <c r="O272" i="1"/>
  <c r="O273" i="1" a="1"/>
  <c r="O273" i="1"/>
  <c r="P273" i="1" s="1" a="1"/>
  <c r="P273" i="1" s="1"/>
  <c r="O274" i="1" a="1"/>
  <c r="O274" i="1" s="1"/>
  <c r="P274" i="1" s="1" a="1"/>
  <c r="P274" i="1" s="1"/>
  <c r="O275" i="1" a="1"/>
  <c r="O275" i="1"/>
  <c r="O276" i="1" a="1"/>
  <c r="O276" i="1" s="1"/>
  <c r="O277" i="1" a="1"/>
  <c r="O277" i="1"/>
  <c r="P277" i="1" s="1" a="1"/>
  <c r="P277" i="1" s="1"/>
  <c r="O278" i="1" a="1"/>
  <c r="O278" i="1" s="1"/>
  <c r="P278" i="1" s="1" a="1"/>
  <c r="P278" i="1" s="1"/>
  <c r="O279" i="1" a="1"/>
  <c r="O279" i="1"/>
  <c r="O280" i="1" a="1"/>
  <c r="O280" i="1" s="1"/>
  <c r="P280" i="1" s="1" a="1"/>
  <c r="O281" i="1" a="1"/>
  <c r="O281" i="1"/>
  <c r="O282" i="1" a="1"/>
  <c r="O282" i="1"/>
  <c r="P282" i="1" s="1" a="1"/>
  <c r="P282" i="1" s="1"/>
  <c r="O283" i="1" a="1"/>
  <c r="O283" i="1" s="1"/>
  <c r="O284" i="1" a="1"/>
  <c r="O284" i="1"/>
  <c r="P284" i="1" s="1" a="1"/>
  <c r="P284" i="1" s="1"/>
  <c r="O285" i="1" a="1"/>
  <c r="O285" i="1"/>
  <c r="P285" i="1" s="1" a="1"/>
  <c r="P285" i="1" s="1"/>
  <c r="O286" i="1" a="1"/>
  <c r="O286" i="1" s="1"/>
  <c r="P286" i="1" s="1" a="1"/>
  <c r="P286" i="1" s="1"/>
  <c r="O287" i="1" a="1"/>
  <c r="O287" i="1"/>
  <c r="P287" i="1" s="1" a="1"/>
  <c r="P287" i="1" s="1"/>
  <c r="O288" i="1" a="1"/>
  <c r="O288" i="1"/>
  <c r="P288" i="1" s="1" a="1"/>
  <c r="P288" i="1" s="1"/>
  <c r="O289" i="1" a="1"/>
  <c r="O289" i="1" s="1"/>
  <c r="P289" i="1" s="1" a="1"/>
  <c r="P289" i="1" s="1"/>
  <c r="O290" i="1" a="1"/>
  <c r="O290" i="1" s="1"/>
  <c r="P290" i="1" s="1" a="1"/>
  <c r="P290" i="1" s="1"/>
  <c r="O291" i="1" a="1"/>
  <c r="O291" i="1"/>
  <c r="P291" i="1" s="1" a="1"/>
  <c r="P291" i="1" s="1"/>
  <c r="O292" i="1" a="1"/>
  <c r="O292" i="1"/>
  <c r="P292" i="1" s="1" a="1"/>
  <c r="P292" i="1" s="1"/>
  <c r="O293" i="1" a="1"/>
  <c r="O293" i="1"/>
  <c r="O294" i="1" a="1"/>
  <c r="O294" i="1" s="1"/>
  <c r="P294" i="1" s="1" a="1"/>
  <c r="P294" i="1" s="1"/>
  <c r="O295" i="1" a="1"/>
  <c r="O295" i="1" s="1"/>
  <c r="P295" i="1" s="1" a="1"/>
  <c r="P295" i="1" s="1"/>
  <c r="O296" i="1" a="1"/>
  <c r="O296" i="1"/>
  <c r="P296" i="1" s="1" a="1"/>
  <c r="P296" i="1" s="1"/>
  <c r="O297" i="1" a="1"/>
  <c r="O297" i="1" s="1"/>
  <c r="O298" i="1" a="1"/>
  <c r="O298" i="1"/>
  <c r="O299" i="1" a="1"/>
  <c r="O299" i="1"/>
  <c r="P299" i="1" s="1" a="1"/>
  <c r="P299" i="1" s="1"/>
  <c r="O300" i="1" a="1"/>
  <c r="O300" i="1"/>
  <c r="P300" i="1" s="1" a="1"/>
  <c r="P300" i="1" s="1"/>
  <c r="O301" i="1" a="1"/>
  <c r="O301" i="1"/>
  <c r="O302" i="1" a="1"/>
  <c r="O302" i="1" s="1"/>
  <c r="P302" i="1" s="1" a="1"/>
  <c r="P302" i="1" s="1"/>
  <c r="O303" i="1" a="1"/>
  <c r="O303" i="1"/>
  <c r="O304" i="1" a="1"/>
  <c r="O304" i="1" s="1"/>
  <c r="O305" i="1" a="1"/>
  <c r="O305" i="1"/>
  <c r="P305" i="1" s="1" a="1"/>
  <c r="O306" i="1" a="1"/>
  <c r="O306" i="1"/>
  <c r="O307" i="1" a="1"/>
  <c r="O307" i="1"/>
  <c r="P307" i="1" s="1" a="1"/>
  <c r="P307" i="1" s="1"/>
  <c r="O308" i="1" a="1"/>
  <c r="O308" i="1" s="1"/>
  <c r="P308" i="1" s="1" a="1"/>
  <c r="P308" i="1" s="1"/>
  <c r="O309" i="1" a="1"/>
  <c r="O309" i="1" s="1"/>
  <c r="P309" i="1" s="1" a="1"/>
  <c r="P309" i="1" s="1"/>
  <c r="O310" i="1" a="1"/>
  <c r="O310" i="1" s="1"/>
  <c r="O311" i="1" a="1"/>
  <c r="O311" i="1" s="1"/>
  <c r="O312" i="1" a="1"/>
  <c r="O312" i="1" s="1"/>
  <c r="O313" i="1" a="1"/>
  <c r="O313" i="1"/>
  <c r="P313" i="1" s="1" a="1"/>
  <c r="O314" i="1" a="1"/>
  <c r="O314" i="1"/>
  <c r="O315" i="1" a="1"/>
  <c r="O315" i="1"/>
  <c r="P315" i="1" s="1" a="1"/>
  <c r="P315" i="1" s="1"/>
  <c r="O316" i="1" a="1"/>
  <c r="O316" i="1"/>
  <c r="P316" i="1" s="1" a="1"/>
  <c r="P316" i="1" s="1"/>
  <c r="O317" i="1" a="1"/>
  <c r="O317" i="1"/>
  <c r="O318" i="1" a="1"/>
  <c r="O318" i="1" s="1"/>
  <c r="O319" i="1" a="1"/>
  <c r="O319" i="1"/>
  <c r="P319" i="1" s="1" a="1"/>
  <c r="P319" i="1" s="1"/>
  <c r="O320" i="1" a="1"/>
  <c r="O320" i="1"/>
  <c r="O321" i="1" a="1"/>
  <c r="O321" i="1"/>
  <c r="P321" i="1" s="1" a="1"/>
  <c r="P321" i="1" s="1"/>
  <c r="O322" i="1" a="1"/>
  <c r="O322" i="1"/>
  <c r="P322" i="1" s="1" a="1"/>
  <c r="P322" i="1" s="1"/>
  <c r="O323" i="1" a="1"/>
  <c r="O323" i="1"/>
  <c r="P323" i="1" s="1" a="1"/>
  <c r="P323" i="1" s="1"/>
  <c r="O324" i="1" a="1"/>
  <c r="O324" i="1" s="1"/>
  <c r="P324" i="1" s="1" a="1"/>
  <c r="P324" i="1" s="1"/>
  <c r="O325" i="1" a="1"/>
  <c r="O325" i="1" s="1"/>
  <c r="O326" i="1" a="1"/>
  <c r="O326" i="1"/>
  <c r="O327" i="1" a="1"/>
  <c r="O327" i="1" s="1"/>
  <c r="O328" i="1" a="1"/>
  <c r="O328" i="1"/>
  <c r="O329" i="1" a="1"/>
  <c r="O329" i="1"/>
  <c r="P329" i="1" s="1" a="1"/>
  <c r="P329" i="1" s="1"/>
  <c r="O330" i="1" a="1"/>
  <c r="O330" i="1"/>
  <c r="P330" i="1" s="1" a="1"/>
  <c r="P330" i="1" s="1"/>
  <c r="O331" i="1" a="1"/>
  <c r="O331" i="1"/>
  <c r="P331" i="1" s="1" a="1"/>
  <c r="P331" i="1" s="1"/>
  <c r="O332" i="1" a="1"/>
  <c r="O332" i="1" s="1"/>
  <c r="P332" i="1" s="1" a="1"/>
  <c r="P332" i="1" s="1"/>
  <c r="O333" i="1" a="1"/>
  <c r="O333" i="1" s="1"/>
  <c r="O334" i="1" a="1"/>
  <c r="O334" i="1"/>
  <c r="O335" i="1" a="1"/>
  <c r="O335" i="1"/>
  <c r="O336" i="1" a="1"/>
  <c r="O336" i="1"/>
  <c r="O337" i="1" a="1"/>
  <c r="O337" i="1"/>
  <c r="P337" i="1" s="1" a="1"/>
  <c r="P337" i="1" s="1"/>
  <c r="O338" i="1" a="1"/>
  <c r="O338" i="1"/>
  <c r="O339" i="1" a="1"/>
  <c r="O339" i="1" s="1"/>
  <c r="P339" i="1" s="1" a="1"/>
  <c r="P339" i="1" s="1"/>
  <c r="O340" i="1" a="1"/>
  <c r="O340" i="1"/>
  <c r="P340" i="1" s="1" a="1"/>
  <c r="P340" i="1" s="1"/>
  <c r="O341" i="1" a="1"/>
  <c r="O341" i="1"/>
  <c r="O342" i="1" a="1"/>
  <c r="O342" i="1" s="1"/>
  <c r="P342" i="1" s="1" a="1"/>
  <c r="P342" i="1" s="1"/>
  <c r="O343" i="1" a="1"/>
  <c r="O343" i="1"/>
  <c r="O344" i="1" a="1"/>
  <c r="O344" i="1"/>
  <c r="P344" i="1" s="1" a="1"/>
  <c r="P344" i="1" s="1"/>
  <c r="O345" i="1" a="1"/>
  <c r="O345" i="1"/>
  <c r="P345" i="1" s="1" a="1"/>
  <c r="P345" i="1" s="1"/>
  <c r="O346" i="1" a="1"/>
  <c r="O346" i="1" s="1"/>
  <c r="P346" i="1" s="1" a="1"/>
  <c r="P346" i="1" s="1"/>
  <c r="O2" i="1" a="1"/>
  <c r="O2" i="1" s="1"/>
  <c r="P2" i="1" s="1" a="1"/>
  <c r="P2" i="1" s="1"/>
  <c r="P3" i="1" a="1"/>
  <c r="P3" i="1"/>
  <c r="P4" i="1" a="1"/>
  <c r="P4" i="1"/>
  <c r="P5" i="1" a="1"/>
  <c r="P5" i="1"/>
  <c r="P6" i="1"/>
  <c r="P7" i="1" a="1"/>
  <c r="P7" i="1"/>
  <c r="P8" i="1" a="1"/>
  <c r="P8" i="1" s="1"/>
  <c r="P10" i="1" a="1"/>
  <c r="P10" i="1" s="1"/>
  <c r="P11" i="1" a="1"/>
  <c r="P11" i="1" s="1"/>
  <c r="P12" i="1" a="1"/>
  <c r="P12" i="1"/>
  <c r="P18" i="1" a="1"/>
  <c r="P18" i="1" s="1"/>
  <c r="P19" i="1" a="1"/>
  <c r="P19" i="1"/>
  <c r="P20" i="1" a="1"/>
  <c r="P20" i="1" s="1"/>
  <c r="P21" i="1" a="1"/>
  <c r="P21" i="1" s="1"/>
  <c r="P24" i="1" a="1"/>
  <c r="P24" i="1"/>
  <c r="P28" i="1"/>
  <c r="P30" i="1" a="1"/>
  <c r="P30" i="1"/>
  <c r="P31" i="1" a="1"/>
  <c r="P31" i="1"/>
  <c r="P32" i="1" a="1"/>
  <c r="P32" i="1"/>
  <c r="P34" i="1" a="1"/>
  <c r="P34" i="1"/>
  <c r="P39" i="1" a="1"/>
  <c r="P39" i="1"/>
  <c r="P42" i="1" a="1"/>
  <c r="P42" i="1"/>
  <c r="P45" i="1"/>
  <c r="P47" i="1" a="1"/>
  <c r="P47" i="1" s="1"/>
  <c r="P49" i="1" a="1"/>
  <c r="P49" i="1" s="1"/>
  <c r="P50" i="1" a="1"/>
  <c r="P50" i="1" s="1"/>
  <c r="P51" i="1" a="1"/>
  <c r="P51" i="1" s="1"/>
  <c r="P53" i="1"/>
  <c r="P54" i="1" a="1"/>
  <c r="P54" i="1"/>
  <c r="P55" i="1" a="1"/>
  <c r="P55" i="1"/>
  <c r="P57" i="1" a="1"/>
  <c r="P57" i="1" s="1"/>
  <c r="P62" i="1" a="1"/>
  <c r="P62" i="1"/>
  <c r="P63" i="1" a="1"/>
  <c r="P63" i="1"/>
  <c r="P64" i="1" a="1"/>
  <c r="P64" i="1" s="1"/>
  <c r="P65" i="1" a="1"/>
  <c r="P65" i="1"/>
  <c r="P69" i="1"/>
  <c r="P72" i="1" a="1"/>
  <c r="P72" i="1"/>
  <c r="P73" i="1" a="1"/>
  <c r="P73" i="1"/>
  <c r="P77" i="1" a="1"/>
  <c r="P77" i="1"/>
  <c r="P78" i="1" a="1"/>
  <c r="P78" i="1" s="1"/>
  <c r="P79" i="1" a="1"/>
  <c r="P79" i="1"/>
  <c r="P80" i="1" a="1"/>
  <c r="P80" i="1" s="1"/>
  <c r="P86" i="1" a="1"/>
  <c r="P86" i="1"/>
  <c r="P87" i="1" a="1"/>
  <c r="P87" i="1"/>
  <c r="P88" i="1" a="1"/>
  <c r="P88" i="1"/>
  <c r="P89" i="1" a="1"/>
  <c r="P89" i="1" s="1"/>
  <c r="P90" i="1" a="1"/>
  <c r="P90" i="1" s="1"/>
  <c r="P91" i="1"/>
  <c r="P94" i="1" a="1"/>
  <c r="P94" i="1" s="1"/>
  <c r="P95" i="1" a="1"/>
  <c r="P95" i="1"/>
  <c r="P101" i="1" a="1"/>
  <c r="P101" i="1"/>
  <c r="P102" i="1" a="1"/>
  <c r="P102" i="1"/>
  <c r="P103" i="1" a="1"/>
  <c r="P103" i="1"/>
  <c r="P110" i="1" a="1"/>
  <c r="P110" i="1"/>
  <c r="P112" i="1"/>
  <c r="P113" i="1" a="1"/>
  <c r="P113" i="1" s="1"/>
  <c r="P114" i="1" a="1"/>
  <c r="P114" i="1"/>
  <c r="P116" i="1" a="1"/>
  <c r="P116" i="1" s="1"/>
  <c r="P118" i="1" a="1"/>
  <c r="P118" i="1"/>
  <c r="P122" i="1" a="1"/>
  <c r="P122" i="1"/>
  <c r="P128" i="1" a="1"/>
  <c r="P128" i="1"/>
  <c r="P129" i="1" a="1"/>
  <c r="P129" i="1" s="1"/>
  <c r="P130" i="1" a="1"/>
  <c r="P130" i="1"/>
  <c r="P132" i="1" a="1"/>
  <c r="P132" i="1" s="1"/>
  <c r="P136" i="1" a="1"/>
  <c r="P136" i="1"/>
  <c r="P137" i="1" a="1"/>
  <c r="P137" i="1"/>
  <c r="P138" i="1" a="1"/>
  <c r="P138" i="1" s="1"/>
  <c r="P140" i="1" a="1"/>
  <c r="P140" i="1" s="1"/>
  <c r="P143" i="1"/>
  <c r="P145" i="1" a="1"/>
  <c r="P145" i="1" s="1"/>
  <c r="P147" i="1" a="1"/>
  <c r="P147" i="1" s="1"/>
  <c r="P152" i="1" a="1"/>
  <c r="P152" i="1"/>
  <c r="P153" i="1" a="1"/>
  <c r="P153" i="1"/>
  <c r="P154" i="1" a="1"/>
  <c r="P154" i="1" s="1"/>
  <c r="P155" i="1" a="1"/>
  <c r="P155" i="1" s="1"/>
  <c r="P160" i="1" a="1"/>
  <c r="P160" i="1"/>
  <c r="P161" i="1" a="1"/>
  <c r="P161" i="1"/>
  <c r="P162" i="1" a="1"/>
  <c r="P162" i="1" s="1"/>
  <c r="P163" i="1" a="1"/>
  <c r="P163" i="1"/>
  <c r="P168" i="1" a="1"/>
  <c r="P168" i="1"/>
  <c r="P170" i="1" a="1"/>
  <c r="P170" i="1"/>
  <c r="P177" i="1" a="1"/>
  <c r="P177" i="1"/>
  <c r="P178" i="1" a="1"/>
  <c r="P178" i="1" s="1"/>
  <c r="P179" i="1" a="1"/>
  <c r="P179" i="1"/>
  <c r="P180" i="1" a="1"/>
  <c r="P180" i="1"/>
  <c r="P185" i="1" a="1"/>
  <c r="P185" i="1" s="1"/>
  <c r="P188" i="1" a="1"/>
  <c r="P188" i="1"/>
  <c r="P189" i="1" a="1"/>
  <c r="P189" i="1"/>
  <c r="P192" i="1" a="1"/>
  <c r="P192" i="1" s="1"/>
  <c r="P194" i="1"/>
  <c r="P199" i="1" a="1"/>
  <c r="P199" i="1" s="1"/>
  <c r="P204" i="1" a="1"/>
  <c r="P204" i="1" s="1"/>
  <c r="P205" i="1" a="1"/>
  <c r="P205" i="1"/>
  <c r="P206" i="1" a="1"/>
  <c r="P206" i="1" s="1"/>
  <c r="P207" i="1"/>
  <c r="P208" i="1" a="1"/>
  <c r="P208" i="1" s="1"/>
  <c r="P212" i="1" a="1"/>
  <c r="P212" i="1" s="1"/>
  <c r="P213" i="1" a="1"/>
  <c r="P213" i="1" s="1"/>
  <c r="P215" i="1"/>
  <c r="P220" i="1" a="1"/>
  <c r="P220" i="1" s="1"/>
  <c r="P221" i="1" a="1"/>
  <c r="P221" i="1" s="1"/>
  <c r="P223" i="1"/>
  <c r="P227" i="1" a="1"/>
  <c r="P227" i="1" s="1"/>
  <c r="P230" i="1" a="1"/>
  <c r="P230" i="1"/>
  <c r="P231" i="1" a="1"/>
  <c r="P231" i="1" s="1"/>
  <c r="P232" i="1" a="1"/>
  <c r="P232" i="1" s="1"/>
  <c r="P234" i="1" a="1"/>
  <c r="P234" i="1" s="1"/>
  <c r="P235" i="1" a="1"/>
  <c r="P235" i="1" s="1"/>
  <c r="P237" i="1"/>
  <c r="P243" i="1" a="1"/>
  <c r="P243" i="1"/>
  <c r="P244" i="1" a="1"/>
  <c r="P244" i="1"/>
  <c r="P245" i="1"/>
  <c r="P246" i="1" a="1"/>
  <c r="P246" i="1" s="1"/>
  <c r="P249" i="1" a="1"/>
  <c r="P249" i="1" s="1"/>
  <c r="P250" i="1" a="1"/>
  <c r="P250" i="1" s="1"/>
  <c r="P252" i="1" a="1"/>
  <c r="P252" i="1"/>
  <c r="P253" i="1" a="1"/>
  <c r="P253" i="1" s="1"/>
  <c r="P254" i="1"/>
  <c r="P255" i="1" a="1"/>
  <c r="P255" i="1" s="1"/>
  <c r="P258" i="1" a="1"/>
  <c r="P258" i="1"/>
  <c r="P260" i="1" a="1"/>
  <c r="P260" i="1" s="1"/>
  <c r="P261" i="1" a="1"/>
  <c r="P261" i="1" s="1"/>
  <c r="P262" i="1" a="1"/>
  <c r="P262" i="1" s="1"/>
  <c r="P267" i="1" a="1"/>
  <c r="P267" i="1" s="1"/>
  <c r="P268" i="1" a="1"/>
  <c r="P268" i="1"/>
  <c r="P269" i="1" a="1"/>
  <c r="P269" i="1" s="1"/>
  <c r="P271" i="1" a="1"/>
  <c r="P271" i="1" s="1"/>
  <c r="P272" i="1" a="1"/>
  <c r="P272" i="1"/>
  <c r="P275" i="1" a="1"/>
  <c r="P275" i="1"/>
  <c r="P276" i="1" a="1"/>
  <c r="P276" i="1" s="1"/>
  <c r="P279" i="1" a="1"/>
  <c r="P279" i="1"/>
  <c r="P280" i="1"/>
  <c r="P281" i="1" a="1"/>
  <c r="P281" i="1" s="1"/>
  <c r="P283" i="1" a="1"/>
  <c r="P283" i="1" s="1"/>
  <c r="P293" i="1" a="1"/>
  <c r="P293" i="1"/>
  <c r="P297" i="1" a="1"/>
  <c r="P297" i="1" s="1"/>
  <c r="P298" i="1" a="1"/>
  <c r="P298" i="1" s="1"/>
  <c r="P301" i="1" a="1"/>
  <c r="P301" i="1"/>
  <c r="P303" i="1" a="1"/>
  <c r="P303" i="1"/>
  <c r="P304" i="1" a="1"/>
  <c r="P304" i="1" s="1"/>
  <c r="P305" i="1"/>
  <c r="P306" i="1" a="1"/>
  <c r="P306" i="1" s="1"/>
  <c r="P310" i="1" a="1"/>
  <c r="P310" i="1"/>
  <c r="P311" i="1" a="1"/>
  <c r="P311" i="1" s="1"/>
  <c r="P312" i="1" a="1"/>
  <c r="P312" i="1"/>
  <c r="P313" i="1"/>
  <c r="P314" i="1" a="1"/>
  <c r="P314" i="1" s="1"/>
  <c r="P317" i="1" a="1"/>
  <c r="P317" i="1"/>
  <c r="P318" i="1" a="1"/>
  <c r="P318" i="1" s="1"/>
  <c r="P320" i="1" a="1"/>
  <c r="P320" i="1" s="1"/>
  <c r="P325" i="1" a="1"/>
  <c r="P325" i="1" s="1"/>
  <c r="P326" i="1" a="1"/>
  <c r="P326" i="1"/>
  <c r="P327" i="1" a="1"/>
  <c r="P327" i="1"/>
  <c r="P328" i="1" a="1"/>
  <c r="P328" i="1"/>
  <c r="P333" i="1" a="1"/>
  <c r="P333" i="1" s="1"/>
  <c r="P334" i="1" a="1"/>
  <c r="P334" i="1"/>
  <c r="P335" i="1" a="1"/>
  <c r="P335" i="1"/>
  <c r="P336" i="1" a="1"/>
  <c r="P336" i="1"/>
  <c r="P338" i="1" a="1"/>
  <c r="P338" i="1"/>
  <c r="P341" i="1" a="1"/>
  <c r="P341" i="1"/>
  <c r="P343" i="1" a="1"/>
  <c r="P343" i="1" s="1"/>
  <c r="D7" i="5" l="1"/>
  <c r="D8" i="5"/>
  <c r="D9" i="5"/>
  <c r="D6" i="5"/>
  <c r="J2" i="4"/>
  <c r="U2" i="3" a="1"/>
  <c r="U2" i="3" s="1"/>
  <c r="U3" i="3" l="1" a="1"/>
  <c r="U3" i="3" s="1"/>
  <c r="U4" i="3" a="1"/>
  <c r="U4" i="3" s="1"/>
  <c r="U5" i="3" a="1"/>
  <c r="U5" i="3"/>
  <c r="U6" i="3" a="1"/>
  <c r="U6" i="3"/>
  <c r="U7" i="3" a="1"/>
  <c r="U7" i="3"/>
  <c r="U8" i="3" a="1"/>
  <c r="U8" i="3"/>
  <c r="U9" i="3" a="1"/>
  <c r="U9" i="3"/>
  <c r="U10" i="3" a="1"/>
  <c r="U10" i="3" s="1"/>
  <c r="U11" i="3" a="1"/>
  <c r="U11" i="3" s="1"/>
  <c r="U12" i="3" a="1"/>
  <c r="U12" i="3"/>
  <c r="U13" i="3" a="1"/>
  <c r="U13" i="3"/>
  <c r="U14" i="3" a="1"/>
  <c r="U14" i="3"/>
  <c r="U15" i="3" a="1"/>
  <c r="U15" i="3"/>
  <c r="U16" i="3" a="1"/>
  <c r="U16" i="3"/>
  <c r="U17" i="3" a="1"/>
  <c r="U17" i="3" s="1"/>
  <c r="U18" i="3" a="1"/>
  <c r="U18" i="3" s="1"/>
  <c r="U19" i="3" a="1"/>
  <c r="U19" i="3"/>
  <c r="U20" i="3" a="1"/>
  <c r="U20" i="3" s="1"/>
  <c r="U21" i="3" a="1"/>
  <c r="U21" i="3"/>
  <c r="U22" i="3" a="1"/>
  <c r="U22" i="3"/>
  <c r="U23" i="3" a="1"/>
  <c r="U23" i="3"/>
  <c r="U24" i="3" a="1"/>
  <c r="U24" i="3" s="1"/>
  <c r="U25" i="3" a="1"/>
  <c r="U25" i="3" s="1"/>
  <c r="U26" i="3" a="1"/>
  <c r="U26" i="3"/>
  <c r="U27" i="3" a="1"/>
  <c r="U27" i="3"/>
  <c r="U28" i="3" a="1"/>
  <c r="U28" i="3" s="1"/>
  <c r="U29" i="3" a="1"/>
  <c r="U29" i="3"/>
  <c r="U30" i="3" a="1"/>
  <c r="U30" i="3"/>
  <c r="U31" i="3" a="1"/>
  <c r="U31" i="3" s="1"/>
  <c r="U32" i="3" a="1"/>
  <c r="U32" i="3" s="1"/>
  <c r="U33" i="3" a="1"/>
  <c r="U33" i="3"/>
  <c r="U34" i="3" a="1"/>
  <c r="U34" i="3"/>
  <c r="U35" i="3" a="1"/>
  <c r="U35" i="3"/>
  <c r="U36" i="3" a="1"/>
  <c r="U36" i="3" s="1"/>
  <c r="U37" i="3" a="1"/>
  <c r="U37" i="3" s="1"/>
  <c r="U38" i="3" a="1"/>
  <c r="U38" i="3" s="1"/>
  <c r="U39" i="3" a="1"/>
  <c r="U39" i="3" s="1"/>
  <c r="U40" i="3" a="1"/>
  <c r="U40" i="3"/>
  <c r="U41" i="3" a="1"/>
  <c r="U41" i="3"/>
  <c r="U42" i="3" a="1"/>
  <c r="U42" i="3"/>
  <c r="U43" i="3" a="1"/>
  <c r="U43" i="3"/>
  <c r="U44" i="3" a="1"/>
  <c r="U44" i="3" s="1"/>
  <c r="U45" i="3" a="1"/>
  <c r="U45" i="3" s="1"/>
  <c r="U46" i="3" a="1"/>
  <c r="U46" i="3" s="1"/>
  <c r="U47" i="3" a="1"/>
  <c r="U47" i="3"/>
  <c r="U48" i="3" a="1"/>
  <c r="U48" i="3"/>
  <c r="U49" i="3" a="1"/>
  <c r="U49" i="3"/>
  <c r="U50" i="3" a="1"/>
  <c r="U50" i="3"/>
  <c r="U51" i="3" a="1"/>
  <c r="U51" i="3"/>
  <c r="U52" i="3" a="1"/>
  <c r="U52" i="3" s="1"/>
  <c r="U53" i="3" a="1"/>
  <c r="U53" i="3" s="1"/>
  <c r="U54" i="3" a="1"/>
  <c r="U54" i="3"/>
  <c r="U55" i="3" a="1"/>
  <c r="U55" i="3"/>
  <c r="U56" i="3" a="1"/>
  <c r="U56" i="3"/>
  <c r="U57" i="3" a="1"/>
  <c r="U57" i="3"/>
  <c r="U58" i="3" a="1"/>
  <c r="U58" i="3"/>
  <c r="U59" i="3" a="1"/>
  <c r="U59" i="3" s="1"/>
  <c r="U60" i="3" a="1"/>
  <c r="U60" i="3" s="1"/>
  <c r="U61" i="3" a="1"/>
  <c r="U61" i="3" s="1"/>
  <c r="U62" i="3" a="1"/>
  <c r="U62" i="3"/>
  <c r="U63" i="3" a="1"/>
  <c r="U63" i="3" s="1"/>
  <c r="U64" i="3" a="1"/>
  <c r="U64" i="3"/>
  <c r="U65" i="3" a="1"/>
  <c r="U65" i="3"/>
  <c r="U66" i="3" a="1"/>
  <c r="U66" i="3" s="1"/>
  <c r="U67" i="3" a="1"/>
  <c r="U67" i="3" s="1"/>
  <c r="U68" i="3" a="1"/>
  <c r="U68" i="3"/>
  <c r="U69" i="3" a="1"/>
  <c r="U69" i="3" s="1"/>
  <c r="U70" i="3" a="1"/>
  <c r="U70" i="3"/>
  <c r="U71" i="3" a="1"/>
  <c r="U71" i="3"/>
  <c r="U72" i="3" a="1"/>
  <c r="U72" i="3" s="1"/>
  <c r="U73" i="3" a="1"/>
  <c r="U73" i="3" s="1"/>
  <c r="U74" i="3" a="1"/>
  <c r="U74" i="3" s="1"/>
  <c r="U75" i="3" a="1"/>
  <c r="U75" i="3"/>
  <c r="U76" i="3" a="1"/>
  <c r="U76" i="3"/>
  <c r="U77" i="3" a="1"/>
  <c r="U77" i="3" s="1"/>
  <c r="U78" i="3" a="1"/>
  <c r="U78" i="3"/>
  <c r="U79" i="3" a="1"/>
  <c r="U79" i="3"/>
  <c r="U80" i="3" a="1"/>
  <c r="U80" i="3" s="1"/>
  <c r="U81" i="3" a="1"/>
  <c r="U81" i="3" s="1"/>
  <c r="U82" i="3" a="1"/>
  <c r="U82" i="3"/>
  <c r="U83" i="3" a="1"/>
  <c r="U83" i="3"/>
  <c r="U84" i="3" a="1"/>
  <c r="U84" i="3"/>
  <c r="U85" i="3" a="1"/>
  <c r="U85" i="3" s="1"/>
  <c r="U86" i="3" a="1"/>
  <c r="U86" i="3" s="1"/>
  <c r="U87" i="3" a="1"/>
  <c r="U87" i="3" s="1"/>
  <c r="U88" i="3" a="1"/>
  <c r="U88" i="3" s="1"/>
  <c r="T2" i="3" a="1"/>
  <c r="T2" i="3"/>
  <c r="S3" i="3" a="1"/>
  <c r="S3" i="3"/>
  <c r="S5" i="3" a="1"/>
  <c r="S5" i="3"/>
  <c r="S4" i="3" s="1" a="1"/>
  <c r="S4" i="3" s="1"/>
  <c r="S7" i="3" a="1"/>
  <c r="S7" i="3"/>
  <c r="S8" i="3" a="1"/>
  <c r="S8" i="3"/>
  <c r="S9" i="3" a="1"/>
  <c r="S9" i="3"/>
  <c r="S14" i="3" a="1"/>
  <c r="S14" i="3"/>
  <c r="S6" i="3" s="1" a="1"/>
  <c r="S6" i="3" s="1"/>
  <c r="S15" i="3" a="1"/>
  <c r="S15" i="3"/>
  <c r="S16" i="3" a="1"/>
  <c r="S16" i="3"/>
  <c r="S18" i="3" a="1"/>
  <c r="S18" i="3" s="1"/>
  <c r="S19" i="3" a="1"/>
  <c r="S19" i="3"/>
  <c r="S17" i="3" s="1" a="1"/>
  <c r="S17" i="3" s="1"/>
  <c r="S22" i="3" a="1"/>
  <c r="S22" i="3"/>
  <c r="S23" i="3" a="1"/>
  <c r="S23" i="3"/>
  <c r="S25" i="3" a="1"/>
  <c r="S25" i="3" s="1"/>
  <c r="S29" i="3" a="1"/>
  <c r="S29" i="3"/>
  <c r="S30" i="3" a="1"/>
  <c r="S30" i="3"/>
  <c r="S31" i="3" a="1"/>
  <c r="S31" i="3" s="1"/>
  <c r="S32" i="3" a="1"/>
  <c r="S32" i="3" s="1"/>
  <c r="S33" i="3" a="1"/>
  <c r="S33" i="3"/>
  <c r="S34" i="3" a="1"/>
  <c r="S34" i="3"/>
  <c r="S35" i="3" a="1"/>
  <c r="S35" i="3"/>
  <c r="S13" i="3" s="1" a="1"/>
  <c r="S13" i="3" s="1"/>
  <c r="S12" i="3" s="1" a="1"/>
  <c r="S12" i="3" s="1"/>
  <c r="S11" i="3" s="1" a="1"/>
  <c r="S11" i="3" s="1"/>
  <c r="S10" i="3" s="1" a="1"/>
  <c r="S10" i="3" s="1"/>
  <c r="S36" i="3" a="1"/>
  <c r="S36" i="3" s="1"/>
  <c r="S37" i="3" a="1"/>
  <c r="S37" i="3"/>
  <c r="S38" i="3" a="1"/>
  <c r="S38" i="3" s="1"/>
  <c r="S39" i="3" a="1"/>
  <c r="S39" i="3" s="1"/>
  <c r="S40" i="3" a="1"/>
  <c r="S40" i="3"/>
  <c r="S41" i="3" a="1"/>
  <c r="S41" i="3"/>
  <c r="S42" i="3" a="1"/>
  <c r="S42" i="3"/>
  <c r="S43" i="3" a="1"/>
  <c r="S43" i="3"/>
  <c r="S44" i="3" a="1"/>
  <c r="S44" i="3"/>
  <c r="S45" i="3" a="1"/>
  <c r="S45" i="3" s="1"/>
  <c r="S48" i="3" a="1"/>
  <c r="S48" i="3"/>
  <c r="S50" i="3" a="1"/>
  <c r="S50" i="3"/>
  <c r="S51" i="3" a="1"/>
  <c r="S51" i="3"/>
  <c r="S52" i="3" a="1"/>
  <c r="S52" i="3" s="1"/>
  <c r="S53" i="3" a="1"/>
  <c r="S53" i="3" s="1"/>
  <c r="S54" i="3" a="1"/>
  <c r="S54" i="3"/>
  <c r="S55" i="3" a="1"/>
  <c r="S55" i="3"/>
  <c r="S56" i="3" a="1"/>
  <c r="S56" i="3" s="1"/>
  <c r="S24" i="3" s="1" a="1"/>
  <c r="S24" i="3" s="1"/>
  <c r="S57" i="3" a="1"/>
  <c r="S57" i="3"/>
  <c r="S58" i="3" a="1"/>
  <c r="S58" i="3"/>
  <c r="S59" i="3" a="1"/>
  <c r="S59" i="3" s="1"/>
  <c r="S60" i="3" a="1"/>
  <c r="S60" i="3" s="1"/>
  <c r="S61" i="3" a="1"/>
  <c r="S61" i="3"/>
  <c r="S62" i="3" a="1"/>
  <c r="S62" i="3"/>
  <c r="S63" i="3" a="1"/>
  <c r="S63" i="3"/>
  <c r="S64" i="3" a="1"/>
  <c r="S64" i="3"/>
  <c r="S65" i="3" a="1"/>
  <c r="S65" i="3"/>
  <c r="S47" i="3" s="1" a="1"/>
  <c r="S47" i="3" s="1"/>
  <c r="S46" i="3" s="1" a="1"/>
  <c r="S46" i="3" s="1"/>
  <c r="S66" i="3" a="1"/>
  <c r="S66" i="3" s="1"/>
  <c r="S21" i="3" s="1" a="1"/>
  <c r="S21" i="3" s="1"/>
  <c r="S67" i="3" a="1"/>
  <c r="S67" i="3" s="1"/>
  <c r="S20" i="3" s="1" a="1"/>
  <c r="S20" i="3" s="1"/>
  <c r="S69" i="3" a="1"/>
  <c r="S69" i="3"/>
  <c r="S70" i="3" a="1"/>
  <c r="S70" i="3"/>
  <c r="S71" i="3" a="1"/>
  <c r="S71" i="3"/>
  <c r="S49" i="3" s="1" a="1"/>
  <c r="S49" i="3" s="1"/>
  <c r="S72" i="3" a="1"/>
  <c r="S72" i="3"/>
  <c r="S73" i="3" a="1"/>
  <c r="S73" i="3" s="1"/>
  <c r="S74" i="3" a="1"/>
  <c r="S74" i="3" s="1"/>
  <c r="S75" i="3" a="1"/>
  <c r="S75" i="3"/>
  <c r="S76" i="3" a="1"/>
  <c r="S76" i="3"/>
  <c r="S77" i="3" a="1"/>
  <c r="S77" i="3"/>
  <c r="S28" i="3" s="1" a="1"/>
  <c r="S28" i="3" s="1"/>
  <c r="S78" i="3" a="1"/>
  <c r="S78" i="3"/>
  <c r="S26" i="3" s="1" a="1"/>
  <c r="S26" i="3" s="1"/>
  <c r="S79" i="3" a="1"/>
  <c r="S79" i="3" s="1"/>
  <c r="S27" i="3" s="1" a="1"/>
  <c r="S27" i="3" s="1"/>
  <c r="S80" i="3" a="1"/>
  <c r="S80" i="3" s="1"/>
  <c r="S68" i="3" s="1" a="1"/>
  <c r="S68" i="3" s="1"/>
  <c r="S81" i="3" a="1"/>
  <c r="S81" i="3" s="1"/>
  <c r="S82" i="3" a="1"/>
  <c r="S82" i="3"/>
  <c r="S83" i="3" a="1"/>
  <c r="S83" i="3" s="1"/>
  <c r="S84" i="3" a="1"/>
  <c r="S84" i="3"/>
  <c r="S85" i="3" a="1"/>
  <c r="S85" i="3"/>
  <c r="S86" i="3" a="1"/>
  <c r="S86" i="3" s="1"/>
  <c r="S87" i="3" a="1"/>
  <c r="S87" i="3" s="1"/>
  <c r="S88" i="3" a="1"/>
  <c r="S88" i="3" s="1"/>
  <c r="S2" i="3" a="1"/>
  <c r="S2" i="3" s="1"/>
  <c r="I3" i="3" l="1"/>
  <c r="I4" i="3"/>
  <c r="I5" i="3"/>
  <c r="I7" i="3"/>
  <c r="I6" i="3" s="1"/>
  <c r="I8" i="3"/>
  <c r="I9" i="3"/>
  <c r="I10" i="3"/>
  <c r="I11" i="3"/>
  <c r="I12" i="3"/>
  <c r="I13" i="3"/>
  <c r="I15" i="3"/>
  <c r="I14" i="3" s="1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4" i="3"/>
  <c r="I33" i="3" s="1"/>
  <c r="I35" i="3"/>
  <c r="I36" i="3"/>
  <c r="I38" i="3"/>
  <c r="I37" i="3" s="1"/>
  <c r="I39" i="3"/>
  <c r="I40" i="3"/>
  <c r="I41" i="3"/>
  <c r="I43" i="3"/>
  <c r="I42" i="3" s="1"/>
  <c r="I44" i="3"/>
  <c r="I45" i="3"/>
  <c r="I46" i="3"/>
  <c r="I47" i="3"/>
  <c r="I48" i="3"/>
  <c r="I50" i="3"/>
  <c r="I49" i="3" s="1"/>
  <c r="I51" i="3"/>
  <c r="I52" i="3"/>
  <c r="I54" i="3"/>
  <c r="I53" i="3" s="1"/>
  <c r="I55" i="3"/>
  <c r="I56" i="3"/>
  <c r="I57" i="3"/>
  <c r="I59" i="3"/>
  <c r="I58" i="3" s="1"/>
  <c r="I60" i="3"/>
  <c r="I61" i="3"/>
  <c r="I62" i="3"/>
  <c r="I64" i="3"/>
  <c r="I63" i="3" s="1"/>
  <c r="I65" i="3"/>
  <c r="I66" i="3"/>
  <c r="I67" i="3"/>
  <c r="I69" i="3"/>
  <c r="I68" i="3" s="1"/>
  <c r="I70" i="3"/>
  <c r="I72" i="3"/>
  <c r="I71" i="3" s="1"/>
  <c r="I73" i="3"/>
  <c r="I74" i="3"/>
  <c r="I76" i="3"/>
  <c r="I75" i="3" s="1"/>
  <c r="I77" i="3"/>
  <c r="I78" i="3"/>
  <c r="I79" i="3"/>
  <c r="I81" i="3"/>
  <c r="I80" i="3" s="1"/>
  <c r="I82" i="3"/>
  <c r="I83" i="3"/>
  <c r="I85" i="3"/>
  <c r="I84" i="3" s="1"/>
  <c r="I86" i="3"/>
  <c r="I87" i="3"/>
  <c r="I88" i="3"/>
  <c r="I2" i="3"/>
  <c r="O14" i="3" a="1"/>
  <c r="O14" i="3" s="1"/>
  <c r="O6" i="3" s="1" a="1"/>
  <c r="O6" i="3" s="1"/>
  <c r="O33" i="3" a="1"/>
  <c r="O33" i="3"/>
  <c r="O42" i="3" a="1"/>
  <c r="O42" i="3" s="1"/>
  <c r="O37" i="3" s="1" a="1"/>
  <c r="O37" i="3" s="1"/>
  <c r="O53" i="3" a="1"/>
  <c r="O53" i="3" s="1"/>
  <c r="O63" i="3" a="1"/>
  <c r="O63" i="3" s="1"/>
  <c r="O71" i="3" a="1"/>
  <c r="O71" i="3" s="1"/>
  <c r="O49" i="3" s="1" a="1"/>
  <c r="O49" i="3" s="1"/>
  <c r="O75" i="3" a="1"/>
  <c r="O75" i="3" s="1"/>
  <c r="O80" i="3" a="1"/>
  <c r="O80" i="3" s="1"/>
  <c r="O68" i="3" s="1" a="1"/>
  <c r="O68" i="3" s="1"/>
  <c r="O84" i="3" a="1"/>
  <c r="O84" i="3" s="1"/>
  <c r="O58" i="3" s="1" a="1"/>
  <c r="O58" i="3" s="1"/>
  <c r="J3" i="3" l="1" a="1"/>
  <c r="J3" i="3" s="1"/>
  <c r="J4" i="3" a="1"/>
  <c r="J4" i="3" s="1"/>
  <c r="J5" i="3" a="1"/>
  <c r="J5" i="3" s="1"/>
  <c r="J6" i="3" a="1"/>
  <c r="J6" i="3"/>
  <c r="J7" i="3" a="1"/>
  <c r="J7" i="3"/>
  <c r="J8" i="3" a="1"/>
  <c r="J8" i="3" s="1"/>
  <c r="J9" i="3" a="1"/>
  <c r="J9" i="3" s="1"/>
  <c r="J10" i="3" a="1"/>
  <c r="J10" i="3" s="1"/>
  <c r="J11" i="3" a="1"/>
  <c r="J11" i="3" s="1"/>
  <c r="J13" i="3" a="1"/>
  <c r="J13" i="3" s="1"/>
  <c r="J14" i="3" a="1"/>
  <c r="J14" i="3" s="1"/>
  <c r="J15" i="3" a="1"/>
  <c r="J15" i="3" s="1"/>
  <c r="J16" i="3" a="1"/>
  <c r="J16" i="3"/>
  <c r="J17" i="3" a="1"/>
  <c r="J17" i="3" s="1"/>
  <c r="J18" i="3" a="1"/>
  <c r="J18" i="3" s="1"/>
  <c r="J19" i="3" a="1"/>
  <c r="J19" i="3" s="1"/>
  <c r="J20" i="3" a="1"/>
  <c r="J20" i="3"/>
  <c r="J21" i="3" a="1"/>
  <c r="J21" i="3" s="1"/>
  <c r="J22" i="3" a="1"/>
  <c r="J22" i="3"/>
  <c r="J23" i="3" a="1"/>
  <c r="J23" i="3" s="1"/>
  <c r="J24" i="3" a="1"/>
  <c r="J24" i="3" s="1"/>
  <c r="J25" i="3" a="1"/>
  <c r="J25" i="3" s="1"/>
  <c r="J26" i="3" a="1"/>
  <c r="J26" i="3" s="1"/>
  <c r="J27" i="3" a="1"/>
  <c r="J27" i="3" s="1"/>
  <c r="J28" i="3" a="1"/>
  <c r="J28" i="3"/>
  <c r="J29" i="3" a="1"/>
  <c r="J29" i="3"/>
  <c r="J30" i="3" a="1"/>
  <c r="J30" i="3" s="1"/>
  <c r="J31" i="3" a="1"/>
  <c r="J31" i="3" s="1"/>
  <c r="J32" i="3" a="1"/>
  <c r="J32" i="3" s="1"/>
  <c r="J33" i="3" a="1"/>
  <c r="J33" i="3" s="1"/>
  <c r="J34" i="3" a="1"/>
  <c r="J34" i="3" s="1"/>
  <c r="J35" i="3" a="1"/>
  <c r="J35" i="3" s="1"/>
  <c r="J36" i="3" a="1"/>
  <c r="J36" i="3" s="1"/>
  <c r="J37" i="3" a="1"/>
  <c r="J37" i="3"/>
  <c r="J38" i="3" a="1"/>
  <c r="J38" i="3" s="1"/>
  <c r="J39" i="3" a="1"/>
  <c r="J39" i="3" s="1"/>
  <c r="J40" i="3" a="1"/>
  <c r="J40" i="3"/>
  <c r="J41" i="3" a="1"/>
  <c r="J41" i="3" s="1"/>
  <c r="J42" i="3" a="1"/>
  <c r="J42" i="3" s="1"/>
  <c r="J43" i="3" a="1"/>
  <c r="J43" i="3" s="1"/>
  <c r="J44" i="3" a="1"/>
  <c r="J44" i="3" s="1"/>
  <c r="J45" i="3" a="1"/>
  <c r="J45" i="3" s="1"/>
  <c r="J47" i="3" a="1"/>
  <c r="J47" i="3" s="1"/>
  <c r="J48" i="3" a="1"/>
  <c r="J48" i="3" s="1"/>
  <c r="J49" i="3" a="1"/>
  <c r="J49" i="3"/>
  <c r="J50" i="3" a="1"/>
  <c r="J50" i="3"/>
  <c r="J51" i="3" a="1"/>
  <c r="J51" i="3" s="1"/>
  <c r="J52" i="3" a="1"/>
  <c r="J52" i="3" s="1"/>
  <c r="J53" i="3" a="1"/>
  <c r="J53" i="3" s="1"/>
  <c r="J54" i="3" a="1"/>
  <c r="J54" i="3"/>
  <c r="J55" i="3" a="1"/>
  <c r="J55" i="3" s="1"/>
  <c r="J56" i="3" a="1"/>
  <c r="J56" i="3" s="1"/>
  <c r="J57" i="3" a="1"/>
  <c r="J57" i="3" s="1"/>
  <c r="J58" i="3" a="1"/>
  <c r="J58" i="3" s="1"/>
  <c r="J59" i="3" a="1"/>
  <c r="J59" i="3" s="1"/>
  <c r="J60" i="3" a="1"/>
  <c r="J60" i="3" s="1"/>
  <c r="J61" i="3" a="1"/>
  <c r="J61" i="3"/>
  <c r="J62" i="3" a="1"/>
  <c r="J62" i="3" s="1"/>
  <c r="J63" i="3" a="1"/>
  <c r="J63" i="3" s="1"/>
  <c r="J64" i="3" a="1"/>
  <c r="J64" i="3" s="1"/>
  <c r="J65" i="3" a="1"/>
  <c r="J65" i="3" s="1"/>
  <c r="J66" i="3" a="1"/>
  <c r="J66" i="3" s="1"/>
  <c r="J67" i="3" a="1"/>
  <c r="J67" i="3" s="1"/>
  <c r="J68" i="3" a="1"/>
  <c r="J68" i="3" s="1"/>
  <c r="J69" i="3" a="1"/>
  <c r="J69" i="3"/>
  <c r="J70" i="3" a="1"/>
  <c r="J70" i="3" s="1"/>
  <c r="J71" i="3" a="1"/>
  <c r="J71" i="3"/>
  <c r="J72" i="3" a="1"/>
  <c r="J72" i="3" s="1"/>
  <c r="J73" i="3" a="1"/>
  <c r="J73" i="3" s="1"/>
  <c r="J74" i="3" a="1"/>
  <c r="J74" i="3" s="1"/>
  <c r="J75" i="3" a="1"/>
  <c r="J75" i="3"/>
  <c r="J76" i="3" a="1"/>
  <c r="J76" i="3" s="1"/>
  <c r="J77" i="3" a="1"/>
  <c r="J77" i="3" s="1"/>
  <c r="J78" i="3" a="1"/>
  <c r="J78" i="3"/>
  <c r="J79" i="3" a="1"/>
  <c r="J79" i="3"/>
  <c r="J80" i="3" a="1"/>
  <c r="J80" i="3" s="1"/>
  <c r="J81" i="3" a="1"/>
  <c r="J81" i="3" s="1"/>
  <c r="J82" i="3" a="1"/>
  <c r="J82" i="3" s="1"/>
  <c r="J83" i="3" a="1"/>
  <c r="J83" i="3" s="1"/>
  <c r="J84" i="3" a="1"/>
  <c r="J84" i="3" s="1"/>
  <c r="J85" i="3" a="1"/>
  <c r="J85" i="3" s="1"/>
  <c r="J86" i="3" a="1"/>
  <c r="J86" i="3" s="1"/>
  <c r="J87" i="3" a="1"/>
  <c r="J87" i="3" s="1"/>
  <c r="J88" i="3" a="1"/>
  <c r="J88" i="3" s="1"/>
  <c r="J2" i="3" a="1"/>
  <c r="J2" i="3" s="1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2" i="3"/>
  <c r="J46" i="3" s="1" a="1"/>
  <c r="J46" i="3" s="1"/>
  <c r="C7" i="5"/>
  <c r="C8" i="5"/>
  <c r="C6" i="5"/>
  <c r="B7" i="5"/>
  <c r="B8" i="5"/>
  <c r="B9" i="5"/>
  <c r="B6" i="5"/>
  <c r="S21" i="2" a="1"/>
  <c r="S21" i="2" s="1"/>
  <c r="S22" i="2" a="1"/>
  <c r="S22" i="2" s="1"/>
  <c r="S3" i="2" a="1"/>
  <c r="S3" i="2" s="1"/>
  <c r="S4" i="2" a="1"/>
  <c r="S4" i="2" s="1"/>
  <c r="S5" i="2" a="1"/>
  <c r="S5" i="2" s="1"/>
  <c r="S6" i="2" a="1"/>
  <c r="S6" i="2" s="1"/>
  <c r="S7" i="2" a="1"/>
  <c r="S7" i="2" s="1"/>
  <c r="S9" i="2" a="1"/>
  <c r="S9" i="2" s="1"/>
  <c r="S10" i="2" a="1"/>
  <c r="S10" i="2" s="1"/>
  <c r="S11" i="2" a="1"/>
  <c r="S11" i="2" s="1"/>
  <c r="S12" i="2" a="1"/>
  <c r="S12" i="2" s="1"/>
  <c r="S13" i="2" a="1"/>
  <c r="S13" i="2" s="1"/>
  <c r="S14" i="2" a="1"/>
  <c r="S14" i="2" s="1"/>
  <c r="S15" i="2" a="1"/>
  <c r="S15" i="2" s="1"/>
  <c r="S16" i="2" a="1"/>
  <c r="S16" i="2" s="1"/>
  <c r="S17" i="2" a="1"/>
  <c r="S17" i="2" s="1"/>
  <c r="S18" i="2" a="1"/>
  <c r="S18" i="2" s="1"/>
  <c r="S19" i="2" a="1"/>
  <c r="S19" i="2" s="1"/>
  <c r="S20" i="2" a="1"/>
  <c r="S20" i="2" s="1"/>
  <c r="S23" i="2" a="1"/>
  <c r="S23" i="2" s="1"/>
  <c r="S24" i="2" a="1"/>
  <c r="S24" i="2" s="1"/>
  <c r="S25" i="2" a="1"/>
  <c r="S25" i="2" s="1"/>
  <c r="S26" i="2" a="1"/>
  <c r="S26" i="2" s="1"/>
  <c r="S27" i="2" a="1"/>
  <c r="S27" i="2" s="1"/>
  <c r="S28" i="2" a="1"/>
  <c r="S28" i="2" s="1"/>
  <c r="S29" i="2" a="1"/>
  <c r="S29" i="2" s="1"/>
  <c r="S30" i="2" a="1"/>
  <c r="S30" i="2" s="1"/>
  <c r="S31" i="2" a="1"/>
  <c r="S31" i="2" s="1"/>
  <c r="S32" i="2" a="1"/>
  <c r="S32" i="2" s="1"/>
  <c r="S33" i="2" a="1"/>
  <c r="S33" i="2" s="1"/>
  <c r="R2" i="2" a="1"/>
  <c r="R2" i="2" s="1"/>
  <c r="S2" i="2" s="1" a="1"/>
  <c r="S2" i="2" s="1"/>
  <c r="Q4" i="2" a="1"/>
  <c r="Q4" i="2" s="1"/>
  <c r="Q5" i="2" a="1"/>
  <c r="Q5" i="2" s="1"/>
  <c r="Q6" i="2" a="1"/>
  <c r="Q6" i="2"/>
  <c r="Q7" i="2" a="1"/>
  <c r="Q7" i="2"/>
  <c r="Q8" i="2" a="1"/>
  <c r="Q8" i="2" s="1"/>
  <c r="Q3" i="2" s="1" a="1"/>
  <c r="Q3" i="2" s="1"/>
  <c r="Q9" i="2" a="1"/>
  <c r="Q9" i="2"/>
  <c r="Q10" i="2" a="1"/>
  <c r="Q10" i="2" s="1"/>
  <c r="Q11" i="2" a="1"/>
  <c r="Q11" i="2" s="1"/>
  <c r="Q12" i="2" a="1"/>
  <c r="Q12" i="2" s="1"/>
  <c r="Q13" i="2" a="1"/>
  <c r="Q13" i="2" s="1"/>
  <c r="Q14" i="2" a="1"/>
  <c r="Q14" i="2"/>
  <c r="Q15" i="2" a="1"/>
  <c r="Q15" i="2"/>
  <c r="Q16" i="2" a="1"/>
  <c r="Q16" i="2"/>
  <c r="Q17" i="2" a="1"/>
  <c r="Q17" i="2" s="1"/>
  <c r="Q18" i="2" a="1"/>
  <c r="Q18" i="2" s="1"/>
  <c r="Q19" i="2" a="1"/>
  <c r="Q19" i="2" s="1"/>
  <c r="Q20" i="2" a="1"/>
  <c r="Q20" i="2"/>
  <c r="Q21" i="2" a="1"/>
  <c r="Q21" i="2" s="1"/>
  <c r="Q22" i="2" a="1"/>
  <c r="Q22" i="2" s="1"/>
  <c r="Q23" i="2" a="1"/>
  <c r="Q23" i="2"/>
  <c r="Q24" i="2" a="1"/>
  <c r="Q24" i="2" s="1"/>
  <c r="Q25" i="2" a="1"/>
  <c r="Q25" i="2" s="1"/>
  <c r="Q26" i="2" a="1"/>
  <c r="Q26" i="2" s="1"/>
  <c r="Q27" i="2" a="1"/>
  <c r="Q27" i="2" s="1"/>
  <c r="Q28" i="2" a="1"/>
  <c r="Q28" i="2"/>
  <c r="Q29" i="2" a="1"/>
  <c r="Q29" i="2"/>
  <c r="Q30" i="2" a="1"/>
  <c r="Q30" i="2"/>
  <c r="Q31" i="2" a="1"/>
  <c r="Q31" i="2" s="1"/>
  <c r="Q32" i="2" a="1"/>
  <c r="Q32" i="2" s="1"/>
  <c r="Q33" i="2" a="1"/>
  <c r="Q33" i="2" s="1"/>
  <c r="Q2" i="2" a="1"/>
  <c r="Q2" i="2" s="1"/>
  <c r="S8" i="2" l="1" a="1"/>
  <c r="S8" i="2" s="1"/>
  <c r="C9" i="5"/>
  <c r="J12" i="3" a="1"/>
  <c r="J12" i="3" s="1"/>
  <c r="P12" i="3" s="1" a="1"/>
  <c r="P12" i="3" s="1"/>
  <c r="P6" i="3" a="1"/>
  <c r="P6" i="3" s="1"/>
  <c r="P5" i="3" a="1"/>
  <c r="P5" i="3" s="1"/>
  <c r="P47" i="3" a="1"/>
  <c r="P47" i="3" s="1"/>
  <c r="P65" i="3" a="1"/>
  <c r="P65" i="3" s="1"/>
  <c r="P86" i="3" l="1" a="1"/>
  <c r="P86" i="3" s="1"/>
  <c r="P58" i="3" a="1"/>
  <c r="P58" i="3" s="1"/>
  <c r="P15" i="3" a="1"/>
  <c r="P15" i="3" s="1"/>
  <c r="P35" i="3" a="1"/>
  <c r="P35" i="3" s="1"/>
  <c r="P37" i="3" a="1"/>
  <c r="P37" i="3" s="1"/>
  <c r="P71" i="3" a="1"/>
  <c r="P71" i="3" s="1"/>
  <c r="P66" i="3" a="1"/>
  <c r="P66" i="3" s="1"/>
  <c r="P55" i="3" a="1"/>
  <c r="P55" i="3" s="1"/>
  <c r="P25" i="3" a="1"/>
  <c r="P25" i="3" s="1"/>
  <c r="P82" i="3" a="1"/>
  <c r="P82" i="3" s="1"/>
  <c r="P85" i="3" a="1"/>
  <c r="P85" i="3" s="1"/>
  <c r="P72" i="3" a="1"/>
  <c r="P72" i="3" s="1"/>
  <c r="P56" i="3" a="1"/>
  <c r="P56" i="3" s="1"/>
  <c r="P63" i="3" a="1"/>
  <c r="P63" i="3" s="1"/>
  <c r="P75" i="3" a="1"/>
  <c r="P75" i="3" s="1"/>
  <c r="P53" i="3" a="1"/>
  <c r="P53" i="3" s="1"/>
  <c r="P42" i="3" a="1"/>
  <c r="P42" i="3" s="1"/>
  <c r="P76" i="3" a="1"/>
  <c r="P76" i="3" s="1"/>
  <c r="P79" i="3" a="1"/>
  <c r="P79" i="3" s="1"/>
  <c r="P84" i="3" a="1"/>
  <c r="P84" i="3" s="1"/>
  <c r="P87" i="3" a="1"/>
  <c r="P87" i="3" s="1"/>
  <c r="P45" i="3" a="1"/>
  <c r="P45" i="3" s="1"/>
  <c r="P80" i="3" a="1"/>
  <c r="P80" i="3" s="1"/>
  <c r="P19" i="3" a="1"/>
  <c r="P19" i="3" s="1"/>
  <c r="P64" i="3" a="1"/>
  <c r="P64" i="3" s="1"/>
  <c r="P57" i="3" a="1"/>
  <c r="P57" i="3" s="1"/>
  <c r="P78" i="3" a="1"/>
  <c r="P78" i="3" s="1"/>
  <c r="P14" i="3" a="1"/>
  <c r="P14" i="3" s="1"/>
  <c r="P34" i="3" a="1"/>
  <c r="P34" i="3" s="1"/>
  <c r="P68" i="3" a="1"/>
  <c r="P68" i="3" s="1"/>
  <c r="P16" i="3" a="1"/>
  <c r="P16" i="3" s="1"/>
  <c r="P77" i="3" a="1"/>
  <c r="P77" i="3" s="1"/>
  <c r="P74" i="3" a="1"/>
  <c r="P74" i="3" s="1"/>
  <c r="P43" i="3" a="1"/>
  <c r="P43" i="3" s="1"/>
  <c r="P44" i="3" a="1"/>
  <c r="P44" i="3" s="1"/>
  <c r="P49" i="3" a="1"/>
  <c r="P49" i="3" s="1"/>
  <c r="P83" i="3" a="1"/>
  <c r="P83" i="3" s="1"/>
  <c r="P46" i="3" a="1"/>
  <c r="P46" i="3" s="1"/>
  <c r="P36" i="3" a="1"/>
  <c r="P36" i="3" s="1"/>
  <c r="P13" i="3" a="1"/>
  <c r="P13" i="3" s="1"/>
  <c r="P54" i="3" a="1"/>
  <c r="P54" i="3" s="1"/>
  <c r="P88" i="3" a="1"/>
  <c r="P88" i="3" s="1"/>
  <c r="P73" i="3" a="1"/>
  <c r="P73" i="3" s="1"/>
  <c r="P67" i="3" a="1"/>
  <c r="P67" i="3" s="1"/>
  <c r="P32" i="3" a="1"/>
  <c r="P32" i="3" s="1"/>
  <c r="P81" i="3" a="1"/>
  <c r="P81" i="3" s="1"/>
  <c r="P33" i="3" a="1"/>
  <c r="P33" i="3" s="1"/>
  <c r="N3" i="2" l="1" a="1"/>
  <c r="N3" i="2" s="1"/>
  <c r="N4" i="2" a="1"/>
  <c r="N4" i="2" s="1"/>
  <c r="N5" i="2" a="1"/>
  <c r="N5" i="2" s="1"/>
  <c r="N6" i="2" a="1"/>
  <c r="N6" i="2" s="1"/>
  <c r="N7" i="2" a="1"/>
  <c r="N7" i="2" s="1"/>
  <c r="N8" i="2" a="1"/>
  <c r="N8" i="2"/>
  <c r="N9" i="2" a="1"/>
  <c r="N9" i="2"/>
  <c r="N10" i="2" a="1"/>
  <c r="N10" i="2" s="1"/>
  <c r="N11" i="2" a="1"/>
  <c r="N11" i="2"/>
  <c r="N12" i="2" a="1"/>
  <c r="N12" i="2" s="1"/>
  <c r="N13" i="2" a="1"/>
  <c r="N13" i="2" s="1"/>
  <c r="N14" i="2" a="1"/>
  <c r="N14" i="2" s="1"/>
  <c r="N15" i="2" a="1"/>
  <c r="N15" i="2"/>
  <c r="N16" i="2" a="1"/>
  <c r="N16" i="2" s="1"/>
  <c r="N17" i="2" a="1"/>
  <c r="N17" i="2" s="1"/>
  <c r="N18" i="2" a="1"/>
  <c r="N18" i="2" s="1"/>
  <c r="N19" i="2" a="1"/>
  <c r="N19" i="2"/>
  <c r="N20" i="2" a="1"/>
  <c r="N20" i="2" s="1"/>
  <c r="N21" i="2" a="1"/>
  <c r="N21" i="2" s="1"/>
  <c r="N22" i="2" a="1"/>
  <c r="N22" i="2" s="1"/>
  <c r="N23" i="2" a="1"/>
  <c r="N23" i="2" s="1"/>
  <c r="N24" i="2" a="1"/>
  <c r="N24" i="2" s="1"/>
  <c r="N25" i="2" a="1"/>
  <c r="N25" i="2" s="1"/>
  <c r="N26" i="2" a="1"/>
  <c r="N26" i="2"/>
  <c r="N27" i="2" a="1"/>
  <c r="N27" i="2" s="1"/>
  <c r="N28" i="2" a="1"/>
  <c r="N28" i="2" s="1"/>
  <c r="N29" i="2" a="1"/>
  <c r="N29" i="2" s="1"/>
  <c r="N30" i="2" a="1"/>
  <c r="N30" i="2" s="1"/>
  <c r="N31" i="2" a="1"/>
  <c r="N31" i="2" s="1"/>
  <c r="N32" i="2" a="1"/>
  <c r="N32" i="2" s="1"/>
  <c r="N33" i="2" a="1"/>
  <c r="N33" i="2" s="1"/>
  <c r="N2" i="2" a="1"/>
  <c r="N2" i="2" s="1"/>
  <c r="M4" i="2" a="1"/>
  <c r="M4" i="2"/>
  <c r="M5" i="2" a="1"/>
  <c r="M5" i="2"/>
  <c r="M6" i="2" a="1"/>
  <c r="M6" i="2"/>
  <c r="M7" i="2" a="1"/>
  <c r="M7" i="2" s="1"/>
  <c r="M8" i="2" a="1"/>
  <c r="M8" i="2" s="1"/>
  <c r="M3" i="2" s="1" a="1"/>
  <c r="M3" i="2" s="1"/>
  <c r="M9" i="2" a="1"/>
  <c r="M9" i="2"/>
  <c r="M10" i="2" a="1"/>
  <c r="M10" i="2"/>
  <c r="M11" i="2" a="1"/>
  <c r="M11" i="2"/>
  <c r="M12" i="2" a="1"/>
  <c r="M12" i="2"/>
  <c r="M14" i="2" a="1"/>
  <c r="M14" i="2"/>
  <c r="M15" i="2" a="1"/>
  <c r="M15" i="2"/>
  <c r="M16" i="2" a="1"/>
  <c r="M16" i="2" s="1"/>
  <c r="M13" i="2" s="1" a="1"/>
  <c r="M13" i="2" s="1"/>
  <c r="M17" i="2" a="1"/>
  <c r="M17" i="2"/>
  <c r="M18" i="2" a="1"/>
  <c r="M18" i="2" s="1"/>
  <c r="M19" i="2" a="1"/>
  <c r="M19" i="2"/>
  <c r="M20" i="2" a="1"/>
  <c r="M20" i="2"/>
  <c r="M21" i="2" a="1"/>
  <c r="M21" i="2"/>
  <c r="M22" i="2" a="1"/>
  <c r="M22" i="2" s="1"/>
  <c r="M23" i="2" a="1"/>
  <c r="M23" i="2" s="1"/>
  <c r="M24" i="2" a="1"/>
  <c r="M24" i="2"/>
  <c r="M25" i="2" a="1"/>
  <c r="M25" i="2"/>
  <c r="M26" i="2" a="1"/>
  <c r="M26" i="2"/>
  <c r="M27" i="2" a="1"/>
  <c r="M27" i="2" s="1"/>
  <c r="M28" i="2" a="1"/>
  <c r="M28" i="2"/>
  <c r="M29" i="2" a="1"/>
  <c r="M29" i="2" s="1"/>
  <c r="M30" i="2" a="1"/>
  <c r="M30" i="2" s="1"/>
  <c r="M31" i="2" a="1"/>
  <c r="M31" i="2"/>
  <c r="M32" i="2" a="1"/>
  <c r="M32" i="2"/>
  <c r="M33" i="2" a="1"/>
  <c r="M33" i="2"/>
  <c r="M2" i="2" a="1"/>
  <c r="M2" i="2" s="1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I4" i="2" a="1"/>
  <c r="I4" i="2" s="1"/>
  <c r="I5" i="2" a="1"/>
  <c r="I5" i="2" s="1"/>
  <c r="I6" i="2" a="1"/>
  <c r="I6" i="2" s="1"/>
  <c r="I7" i="2" a="1"/>
  <c r="I7" i="2" s="1"/>
  <c r="I9" i="2" a="1"/>
  <c r="I9" i="2" s="1"/>
  <c r="I10" i="2" a="1"/>
  <c r="I10" i="2" s="1"/>
  <c r="I11" i="2" a="1"/>
  <c r="I11" i="2" s="1"/>
  <c r="I12" i="2" a="1"/>
  <c r="I12" i="2" s="1"/>
  <c r="I14" i="2" a="1"/>
  <c r="I14" i="2" s="1"/>
  <c r="I15" i="2" a="1"/>
  <c r="I15" i="2" s="1"/>
  <c r="I16" i="2" a="1"/>
  <c r="I16" i="2" s="1"/>
  <c r="I17" i="2" a="1"/>
  <c r="I17" i="2" s="1"/>
  <c r="I18" i="2" a="1"/>
  <c r="I18" i="2" s="1"/>
  <c r="I19" i="2" a="1"/>
  <c r="I19" i="2" s="1"/>
  <c r="I20" i="2" a="1"/>
  <c r="I20" i="2" s="1"/>
  <c r="I21" i="2" a="1"/>
  <c r="I21" i="2" s="1"/>
  <c r="I22" i="2" a="1"/>
  <c r="I22" i="2" s="1"/>
  <c r="I23" i="2" a="1"/>
  <c r="I23" i="2" s="1"/>
  <c r="I24" i="2" a="1"/>
  <c r="I24" i="2" s="1"/>
  <c r="I25" i="2" a="1"/>
  <c r="I25" i="2" s="1"/>
  <c r="I26" i="2" a="1"/>
  <c r="I26" i="2"/>
  <c r="I27" i="2" a="1"/>
  <c r="I27" i="2" s="1"/>
  <c r="I28" i="2" a="1"/>
  <c r="I28" i="2" s="1"/>
  <c r="I29" i="2" a="1"/>
  <c r="I29" i="2" s="1"/>
  <c r="I30" i="2" a="1"/>
  <c r="I30" i="2"/>
  <c r="I31" i="2" a="1"/>
  <c r="I31" i="2" s="1"/>
  <c r="I32" i="2" a="1"/>
  <c r="I32" i="2" s="1"/>
  <c r="I33" i="2" a="1"/>
  <c r="I33" i="2" s="1"/>
  <c r="I2" i="2" a="1"/>
  <c r="I2" i="2" s="1"/>
  <c r="J2" i="2"/>
  <c r="B2" i="1" l="1"/>
  <c r="I2" i="4" l="1"/>
  <c r="I3" i="4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L4" i="3"/>
  <c r="H2" i="2"/>
  <c r="L2" i="2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  <c r="L88" i="3"/>
  <c r="L87" i="3"/>
  <c r="L86" i="3"/>
  <c r="L85" i="3"/>
  <c r="L84" i="3"/>
  <c r="L83" i="3"/>
  <c r="L82" i="3"/>
  <c r="L81" i="3"/>
  <c r="L80" i="3"/>
  <c r="L79" i="3"/>
  <c r="L78" i="3"/>
  <c r="L77" i="3"/>
  <c r="L76" i="3"/>
  <c r="L75" i="3"/>
  <c r="L74" i="3"/>
  <c r="L73" i="3"/>
  <c r="L72" i="3"/>
  <c r="L71" i="3"/>
  <c r="L70" i="3"/>
  <c r="L69" i="3"/>
  <c r="L68" i="3"/>
  <c r="L67" i="3"/>
  <c r="L66" i="3"/>
  <c r="L65" i="3"/>
  <c r="L64" i="3"/>
  <c r="L63" i="3"/>
  <c r="L62" i="3"/>
  <c r="L61" i="3"/>
  <c r="L60" i="3"/>
  <c r="L59" i="3"/>
  <c r="L58" i="3"/>
  <c r="L57" i="3"/>
  <c r="L56" i="3"/>
  <c r="L55" i="3"/>
  <c r="L54" i="3"/>
  <c r="L53" i="3"/>
  <c r="L52" i="3"/>
  <c r="L51" i="3"/>
  <c r="L50" i="3"/>
  <c r="L49" i="3"/>
  <c r="L48" i="3"/>
  <c r="L47" i="3"/>
  <c r="L46" i="3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3" i="3"/>
  <c r="L2" i="3"/>
  <c r="L33" i="2"/>
  <c r="H33" i="2"/>
  <c r="L32" i="2"/>
  <c r="H32" i="2"/>
  <c r="L31" i="2"/>
  <c r="H31" i="2"/>
  <c r="L30" i="2"/>
  <c r="H30" i="2"/>
  <c r="L29" i="2"/>
  <c r="H29" i="2"/>
  <c r="L28" i="2"/>
  <c r="H28" i="2"/>
  <c r="L27" i="2"/>
  <c r="H27" i="2"/>
  <c r="L26" i="2"/>
  <c r="H26" i="2"/>
  <c r="L25" i="2"/>
  <c r="H25" i="2"/>
  <c r="L24" i="2"/>
  <c r="H24" i="2"/>
  <c r="L23" i="2"/>
  <c r="H23" i="2"/>
  <c r="L22" i="2"/>
  <c r="H22" i="2"/>
  <c r="L21" i="2"/>
  <c r="H21" i="2"/>
  <c r="L20" i="2"/>
  <c r="H20" i="2"/>
  <c r="L19" i="2"/>
  <c r="H19" i="2"/>
  <c r="L18" i="2"/>
  <c r="H18" i="2"/>
  <c r="L17" i="2"/>
  <c r="H17" i="2"/>
  <c r="L16" i="2"/>
  <c r="H16" i="2"/>
  <c r="L15" i="2"/>
  <c r="H15" i="2"/>
  <c r="L14" i="2"/>
  <c r="H14" i="2"/>
  <c r="L13" i="2"/>
  <c r="H13" i="2"/>
  <c r="L12" i="2"/>
  <c r="H12" i="2"/>
  <c r="L11" i="2"/>
  <c r="H11" i="2"/>
  <c r="L10" i="2"/>
  <c r="H10" i="2"/>
  <c r="L9" i="2"/>
  <c r="H9" i="2"/>
  <c r="L8" i="2"/>
  <c r="H8" i="2"/>
  <c r="L7" i="2"/>
  <c r="H7" i="2"/>
  <c r="L6" i="2"/>
  <c r="H6" i="2"/>
  <c r="L5" i="2"/>
  <c r="H5" i="2"/>
  <c r="L4" i="2"/>
  <c r="H4" i="2"/>
  <c r="L3" i="2"/>
  <c r="H3" i="2"/>
  <c r="E231" i="1"/>
  <c r="E324" i="1"/>
  <c r="I346" i="1"/>
  <c r="I334" i="1"/>
  <c r="I335" i="1"/>
  <c r="I302" i="1"/>
  <c r="I303" i="1"/>
  <c r="I304" i="1"/>
  <c r="I301" i="1"/>
  <c r="I299" i="1"/>
  <c r="I300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75" i="1"/>
  <c r="I276" i="1"/>
  <c r="I277" i="1"/>
  <c r="I278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343" i="1"/>
  <c r="I344" i="1"/>
  <c r="I341" i="1"/>
  <c r="I342" i="1"/>
  <c r="I339" i="1"/>
  <c r="I340" i="1"/>
  <c r="I336" i="1"/>
  <c r="I337" i="1"/>
  <c r="I338" i="1"/>
  <c r="I310" i="1"/>
  <c r="I311" i="1"/>
  <c r="I307" i="1"/>
  <c r="I308" i="1"/>
  <c r="I309" i="1"/>
  <c r="I306" i="1"/>
  <c r="I305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12" i="1"/>
  <c r="I313" i="1"/>
  <c r="I314" i="1"/>
  <c r="I227" i="1"/>
  <c r="I228" i="1"/>
  <c r="I229" i="1"/>
  <c r="I230" i="1"/>
  <c r="I231" i="1"/>
  <c r="I224" i="1"/>
  <c r="I225" i="1"/>
  <c r="I226" i="1"/>
  <c r="I220" i="1"/>
  <c r="I221" i="1"/>
  <c r="I222" i="1"/>
  <c r="I223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00" i="1"/>
  <c r="I195" i="1"/>
  <c r="I196" i="1"/>
  <c r="I197" i="1"/>
  <c r="I198" i="1"/>
  <c r="I199" i="1"/>
  <c r="I194" i="1"/>
  <c r="I193" i="1"/>
  <c r="I154" i="1"/>
  <c r="I155" i="1"/>
  <c r="I156" i="1"/>
  <c r="I157" i="1"/>
  <c r="I158" i="1"/>
  <c r="I152" i="1"/>
  <c r="I153" i="1"/>
  <c r="I148" i="1"/>
  <c r="I149" i="1"/>
  <c r="I150" i="1"/>
  <c r="I151" i="1"/>
  <c r="I142" i="1"/>
  <c r="I143" i="1"/>
  <c r="I144" i="1"/>
  <c r="I145" i="1"/>
  <c r="I146" i="1"/>
  <c r="I147" i="1"/>
  <c r="I138" i="1"/>
  <c r="I139" i="1"/>
  <c r="I140" i="1"/>
  <c r="I141" i="1"/>
  <c r="I136" i="1"/>
  <c r="I137" i="1"/>
  <c r="I135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42" i="1"/>
  <c r="I39" i="1"/>
  <c r="I40" i="1"/>
  <c r="I41" i="1"/>
  <c r="I239" i="1"/>
  <c r="I240" i="1"/>
  <c r="I241" i="1"/>
  <c r="I242" i="1"/>
  <c r="I243" i="1"/>
  <c r="I253" i="1"/>
  <c r="I254" i="1"/>
  <c r="I255" i="1"/>
  <c r="I256" i="1"/>
  <c r="I257" i="1"/>
  <c r="I258" i="1"/>
  <c r="I259" i="1"/>
  <c r="I260" i="1"/>
  <c r="I261" i="1"/>
  <c r="I262" i="1"/>
  <c r="I250" i="1"/>
  <c r="I251" i="1"/>
  <c r="I252" i="1"/>
  <c r="I247" i="1"/>
  <c r="I248" i="1"/>
  <c r="I249" i="1"/>
  <c r="I245" i="1"/>
  <c r="I246" i="1"/>
  <c r="I244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62" i="1"/>
  <c r="I163" i="1"/>
  <c r="I164" i="1"/>
  <c r="I165" i="1"/>
  <c r="I160" i="1"/>
  <c r="I161" i="1"/>
  <c r="I159" i="1"/>
  <c r="I183" i="1"/>
  <c r="I184" i="1"/>
  <c r="I235" i="1"/>
  <c r="I236" i="1"/>
  <c r="I237" i="1"/>
  <c r="I238" i="1"/>
  <c r="I234" i="1"/>
  <c r="I232" i="1"/>
  <c r="I233" i="1"/>
  <c r="I190" i="1"/>
  <c r="I191" i="1"/>
  <c r="I192" i="1"/>
  <c r="I187" i="1"/>
  <c r="I188" i="1"/>
  <c r="I189" i="1"/>
  <c r="I186" i="1"/>
  <c r="I185" i="1"/>
  <c r="I107" i="1"/>
  <c r="I108" i="1"/>
  <c r="I109" i="1"/>
  <c r="I110" i="1"/>
  <c r="I111" i="1"/>
  <c r="I101" i="1"/>
  <c r="I102" i="1"/>
  <c r="I103" i="1"/>
  <c r="I104" i="1"/>
  <c r="I105" i="1"/>
  <c r="I106" i="1"/>
  <c r="I99" i="1"/>
  <c r="I100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82" i="1"/>
  <c r="I83" i="1"/>
  <c r="I84" i="1"/>
  <c r="I85" i="1"/>
  <c r="I77" i="1"/>
  <c r="I78" i="1"/>
  <c r="I79" i="1"/>
  <c r="I80" i="1"/>
  <c r="I81" i="1"/>
  <c r="I74" i="1"/>
  <c r="I75" i="1"/>
  <c r="I76" i="1"/>
  <c r="I64" i="1"/>
  <c r="I65" i="1"/>
  <c r="I66" i="1"/>
  <c r="I67" i="1"/>
  <c r="I68" i="1"/>
  <c r="I69" i="1"/>
  <c r="I70" i="1"/>
  <c r="I71" i="1"/>
  <c r="I72" i="1"/>
  <c r="I73" i="1"/>
  <c r="I123" i="1"/>
  <c r="I124" i="1"/>
  <c r="I125" i="1"/>
  <c r="I126" i="1"/>
  <c r="I127" i="1"/>
  <c r="I128" i="1"/>
  <c r="I129" i="1"/>
  <c r="I130" i="1"/>
  <c r="I131" i="1"/>
  <c r="I132" i="1"/>
  <c r="I121" i="1"/>
  <c r="I122" i="1"/>
  <c r="I117" i="1"/>
  <c r="I118" i="1"/>
  <c r="I119" i="1"/>
  <c r="I120" i="1"/>
  <c r="I115" i="1"/>
  <c r="I116" i="1"/>
  <c r="I112" i="1"/>
  <c r="I113" i="1"/>
  <c r="I114" i="1"/>
  <c r="I133" i="1"/>
  <c r="I134" i="1"/>
  <c r="I2" i="1"/>
  <c r="I28" i="1"/>
  <c r="I25" i="1"/>
  <c r="I26" i="1"/>
  <c r="I27" i="1"/>
  <c r="I18" i="1"/>
  <c r="I19" i="1"/>
  <c r="I20" i="1"/>
  <c r="I21" i="1"/>
  <c r="I22" i="1"/>
  <c r="I23" i="1"/>
  <c r="I24" i="1"/>
  <c r="I17" i="1"/>
  <c r="I13" i="1"/>
  <c r="I14" i="1"/>
  <c r="I15" i="1"/>
  <c r="I16" i="1"/>
  <c r="I12" i="1"/>
  <c r="I11" i="1"/>
  <c r="I37" i="1"/>
  <c r="I38" i="1"/>
  <c r="I36" i="1"/>
  <c r="I32" i="1"/>
  <c r="I33" i="1"/>
  <c r="I34" i="1"/>
  <c r="I35" i="1"/>
  <c r="I31" i="1"/>
  <c r="I29" i="1"/>
  <c r="I30" i="1"/>
  <c r="I9" i="1"/>
  <c r="I10" i="1"/>
  <c r="I8" i="1"/>
  <c r="I6" i="1"/>
  <c r="I7" i="1"/>
  <c r="I3" i="1"/>
  <c r="I4" i="1"/>
  <c r="I5" i="1"/>
  <c r="I345" i="1"/>
  <c r="B346" i="1"/>
  <c r="B334" i="1"/>
  <c r="B335" i="1"/>
  <c r="B302" i="1"/>
  <c r="B303" i="1"/>
  <c r="B304" i="1"/>
  <c r="B301" i="1"/>
  <c r="B299" i="1"/>
  <c r="B300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75" i="1"/>
  <c r="B276" i="1"/>
  <c r="B277" i="1"/>
  <c r="B278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343" i="1"/>
  <c r="B344" i="1"/>
  <c r="B341" i="1"/>
  <c r="B342" i="1"/>
  <c r="B339" i="1"/>
  <c r="B340" i="1"/>
  <c r="B336" i="1"/>
  <c r="B337" i="1"/>
  <c r="B338" i="1"/>
  <c r="B310" i="1"/>
  <c r="B311" i="1"/>
  <c r="B307" i="1"/>
  <c r="B308" i="1"/>
  <c r="B309" i="1"/>
  <c r="B306" i="1"/>
  <c r="B305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12" i="1"/>
  <c r="B313" i="1"/>
  <c r="B314" i="1"/>
  <c r="B227" i="1"/>
  <c r="B228" i="1"/>
  <c r="B229" i="1"/>
  <c r="B230" i="1"/>
  <c r="B231" i="1"/>
  <c r="B224" i="1"/>
  <c r="B225" i="1"/>
  <c r="B226" i="1"/>
  <c r="B220" i="1"/>
  <c r="B221" i="1"/>
  <c r="B222" i="1"/>
  <c r="B223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00" i="1"/>
  <c r="B195" i="1"/>
  <c r="B196" i="1"/>
  <c r="B197" i="1"/>
  <c r="B198" i="1"/>
  <c r="B199" i="1"/>
  <c r="B194" i="1"/>
  <c r="B193" i="1"/>
  <c r="B154" i="1"/>
  <c r="B155" i="1"/>
  <c r="B156" i="1"/>
  <c r="B157" i="1"/>
  <c r="B158" i="1"/>
  <c r="B152" i="1"/>
  <c r="B153" i="1"/>
  <c r="B148" i="1"/>
  <c r="B149" i="1"/>
  <c r="B150" i="1"/>
  <c r="B151" i="1"/>
  <c r="B142" i="1"/>
  <c r="B143" i="1"/>
  <c r="B144" i="1"/>
  <c r="B145" i="1"/>
  <c r="B146" i="1"/>
  <c r="B147" i="1"/>
  <c r="B138" i="1"/>
  <c r="B139" i="1"/>
  <c r="B140" i="1"/>
  <c r="B141" i="1"/>
  <c r="B136" i="1"/>
  <c r="B137" i="1"/>
  <c r="B135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42" i="1"/>
  <c r="B39" i="1"/>
  <c r="B40" i="1"/>
  <c r="B41" i="1"/>
  <c r="B239" i="1"/>
  <c r="B240" i="1"/>
  <c r="B241" i="1"/>
  <c r="B242" i="1"/>
  <c r="B243" i="1"/>
  <c r="B253" i="1"/>
  <c r="B254" i="1"/>
  <c r="B255" i="1"/>
  <c r="B256" i="1"/>
  <c r="B257" i="1"/>
  <c r="B258" i="1"/>
  <c r="B259" i="1"/>
  <c r="B260" i="1"/>
  <c r="B261" i="1"/>
  <c r="B262" i="1"/>
  <c r="B250" i="1"/>
  <c r="B251" i="1"/>
  <c r="B252" i="1"/>
  <c r="B247" i="1"/>
  <c r="B248" i="1"/>
  <c r="B249" i="1"/>
  <c r="B245" i="1"/>
  <c r="B246" i="1"/>
  <c r="B244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62" i="1"/>
  <c r="B163" i="1"/>
  <c r="B164" i="1"/>
  <c r="B165" i="1"/>
  <c r="B160" i="1"/>
  <c r="B161" i="1"/>
  <c r="B159" i="1"/>
  <c r="B183" i="1"/>
  <c r="B184" i="1"/>
  <c r="B235" i="1"/>
  <c r="B236" i="1"/>
  <c r="B237" i="1"/>
  <c r="B238" i="1"/>
  <c r="B234" i="1"/>
  <c r="B232" i="1"/>
  <c r="B233" i="1"/>
  <c r="B190" i="1"/>
  <c r="B191" i="1"/>
  <c r="B192" i="1"/>
  <c r="B187" i="1"/>
  <c r="B188" i="1"/>
  <c r="B189" i="1"/>
  <c r="B186" i="1"/>
  <c r="B185" i="1"/>
  <c r="B107" i="1"/>
  <c r="B108" i="1"/>
  <c r="B109" i="1"/>
  <c r="B110" i="1"/>
  <c r="B111" i="1"/>
  <c r="B101" i="1"/>
  <c r="B102" i="1"/>
  <c r="B103" i="1"/>
  <c r="B104" i="1"/>
  <c r="B105" i="1"/>
  <c r="B106" i="1"/>
  <c r="B99" i="1"/>
  <c r="B100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82" i="1"/>
  <c r="B83" i="1"/>
  <c r="B84" i="1"/>
  <c r="B85" i="1"/>
  <c r="B77" i="1"/>
  <c r="B78" i="1"/>
  <c r="B79" i="1"/>
  <c r="B80" i="1"/>
  <c r="B81" i="1"/>
  <c r="B74" i="1"/>
  <c r="B75" i="1"/>
  <c r="B76" i="1"/>
  <c r="B64" i="1"/>
  <c r="B65" i="1"/>
  <c r="B66" i="1"/>
  <c r="B67" i="1"/>
  <c r="B68" i="1"/>
  <c r="B69" i="1"/>
  <c r="B70" i="1"/>
  <c r="B71" i="1"/>
  <c r="B72" i="1"/>
  <c r="B73" i="1"/>
  <c r="B123" i="1"/>
  <c r="B124" i="1"/>
  <c r="B125" i="1"/>
  <c r="B126" i="1"/>
  <c r="B127" i="1"/>
  <c r="B128" i="1"/>
  <c r="B129" i="1"/>
  <c r="B130" i="1"/>
  <c r="B131" i="1"/>
  <c r="B132" i="1"/>
  <c r="B121" i="1"/>
  <c r="B122" i="1"/>
  <c r="B117" i="1"/>
  <c r="B118" i="1"/>
  <c r="B119" i="1"/>
  <c r="B120" i="1"/>
  <c r="B115" i="1"/>
  <c r="B116" i="1"/>
  <c r="B112" i="1"/>
  <c r="B113" i="1"/>
  <c r="B114" i="1"/>
  <c r="B133" i="1"/>
  <c r="B134" i="1"/>
  <c r="B28" i="1"/>
  <c r="B25" i="1"/>
  <c r="B26" i="1"/>
  <c r="B27" i="1"/>
  <c r="B18" i="1"/>
  <c r="B19" i="1"/>
  <c r="B20" i="1"/>
  <c r="B21" i="1"/>
  <c r="B22" i="1"/>
  <c r="B23" i="1"/>
  <c r="B24" i="1"/>
  <c r="B17" i="1"/>
  <c r="B13" i="1"/>
  <c r="B14" i="1"/>
  <c r="B15" i="1"/>
  <c r="B16" i="1"/>
  <c r="B12" i="1"/>
  <c r="B11" i="1"/>
  <c r="B37" i="1"/>
  <c r="B38" i="1"/>
  <c r="B36" i="1"/>
  <c r="B32" i="1"/>
  <c r="B33" i="1"/>
  <c r="B34" i="1"/>
  <c r="B35" i="1"/>
  <c r="B31" i="1"/>
  <c r="B29" i="1"/>
  <c r="B30" i="1"/>
  <c r="B9" i="1"/>
  <c r="B10" i="1"/>
  <c r="B8" i="1"/>
  <c r="B6" i="1"/>
  <c r="B7" i="1"/>
  <c r="B3" i="1"/>
  <c r="B4" i="1"/>
  <c r="B5" i="1"/>
  <c r="B345" i="1"/>
  <c r="E6" i="5" l="1"/>
  <c r="E7" i="5"/>
  <c r="E8" i="5"/>
  <c r="I13" i="2" a="1"/>
  <c r="I13" i="2" s="1"/>
  <c r="I8" i="2" s="1" a="1"/>
  <c r="I8" i="2" s="1"/>
  <c r="N185" i="1" a="1"/>
  <c r="N185" i="1" s="1"/>
  <c r="N167" i="1" s="1" a="1"/>
  <c r="N167" i="1" s="1"/>
  <c r="N13" i="1" s="1" a="1"/>
  <c r="N13" i="1" s="1"/>
  <c r="N48" i="1" a="1"/>
  <c r="N48" i="1" s="1"/>
  <c r="N186" i="1" a="1"/>
  <c r="N186" i="1" s="1"/>
  <c r="N176" i="1" s="1" a="1"/>
  <c r="N176" i="1" s="1"/>
  <c r="N31" i="1" s="1" a="1"/>
  <c r="N31" i="1" s="1"/>
  <c r="N184" i="1" a="1"/>
  <c r="N184" i="1" s="1"/>
  <c r="N166" i="1" s="1" a="1"/>
  <c r="N166" i="1" s="1"/>
  <c r="K177" i="1" a="1"/>
  <c r="K177" i="1" s="1"/>
  <c r="N47" i="1" a="1"/>
  <c r="N47" i="1" s="1"/>
  <c r="N214" i="1" a="1"/>
  <c r="N214" i="1" s="1"/>
  <c r="N104" i="1" s="1" a="1"/>
  <c r="N104" i="1" s="1"/>
  <c r="N58" i="1" s="1" a="1"/>
  <c r="N58" i="1" s="1"/>
  <c r="N320" i="1" a="1"/>
  <c r="N320" i="1" s="1"/>
  <c r="N173" i="1" s="1" a="1"/>
  <c r="N173" i="1" s="1"/>
  <c r="N268" i="1" a="1"/>
  <c r="N268" i="1" s="1"/>
  <c r="N267" i="1" s="1" a="1"/>
  <c r="N267" i="1" s="1"/>
  <c r="N108" i="1" s="1" a="1"/>
  <c r="N108" i="1" s="1"/>
  <c r="N107" i="1" s="1" a="1"/>
  <c r="N107" i="1" s="1"/>
  <c r="N294" i="1" a="1"/>
  <c r="N294" i="1" s="1"/>
  <c r="N229" i="1" s="1" a="1"/>
  <c r="N229" i="1" s="1"/>
  <c r="N219" i="1" s="1" a="1"/>
  <c r="N219" i="1" s="1"/>
  <c r="N197" i="1" s="1" a="1"/>
  <c r="N197" i="1" s="1"/>
  <c r="N23" i="1" a="1"/>
  <c r="N23" i="1" s="1"/>
  <c r="N99" i="1" a="1"/>
  <c r="N99" i="1" s="1"/>
  <c r="N24" i="1" s="1" a="1"/>
  <c r="N24" i="1" s="1"/>
  <c r="N193" i="1" a="1"/>
  <c r="N193" i="1" s="1"/>
  <c r="N191" i="1" s="1" a="1"/>
  <c r="N191" i="1" s="1"/>
  <c r="K97" i="1" a="1"/>
  <c r="K97" i="1" s="1"/>
  <c r="N188" i="1" a="1"/>
  <c r="N188" i="1" s="1"/>
  <c r="N170" i="1" s="1" a="1"/>
  <c r="N170" i="1" s="1"/>
  <c r="N125" i="1" a="1"/>
  <c r="N125" i="1" s="1"/>
  <c r="N124" i="1" s="1" a="1"/>
  <c r="N124" i="1" s="1"/>
  <c r="N123" i="1" s="1" a="1"/>
  <c r="N123" i="1" s="1"/>
  <c r="N95" i="1" a="1"/>
  <c r="N95" i="1" s="1"/>
  <c r="N192" i="1" a="1"/>
  <c r="N192" i="1" s="1"/>
  <c r="N252" i="1" a="1"/>
  <c r="N252" i="1" s="1"/>
  <c r="N211" i="1" s="1" a="1"/>
  <c r="N211" i="1" s="1"/>
  <c r="N175" i="1" s="1" a="1"/>
  <c r="N175" i="1" s="1"/>
  <c r="N242" i="1" a="1"/>
  <c r="N242" i="1" s="1"/>
  <c r="N241" i="1" s="1" a="1"/>
  <c r="N241" i="1" s="1"/>
  <c r="N149" i="1" s="1" a="1"/>
  <c r="N149" i="1" s="1"/>
  <c r="N148" i="1" s="1" a="1"/>
  <c r="N148" i="1" s="1"/>
  <c r="N139" i="1" s="1" a="1"/>
  <c r="N139" i="1" s="1"/>
  <c r="N138" i="1" s="1" a="1"/>
  <c r="N138" i="1" s="1"/>
  <c r="N57" i="1" a="1"/>
  <c r="N57" i="1" s="1"/>
  <c r="N36" i="1" s="1" a="1"/>
  <c r="N36" i="1" s="1"/>
  <c r="N151" i="1" a="1"/>
  <c r="N151" i="1" s="1"/>
  <c r="N150" i="1" s="1" a="1"/>
  <c r="N150" i="1" s="1"/>
  <c r="N41" i="1" s="1" a="1"/>
  <c r="N41" i="1" s="1"/>
  <c r="N40" i="1" s="1" a="1"/>
  <c r="N40" i="1" s="1"/>
  <c r="N198" i="1" a="1"/>
  <c r="N198" i="1" s="1"/>
  <c r="N194" i="1" s="1" a="1"/>
  <c r="N194" i="1" s="1"/>
  <c r="N226" i="1" a="1"/>
  <c r="N226" i="1" s="1"/>
  <c r="N207" i="1" s="1" a="1"/>
  <c r="N207" i="1" s="1"/>
  <c r="N202" i="1" s="1" a="1"/>
  <c r="N202" i="1" s="1"/>
  <c r="N342" i="1" a="1"/>
  <c r="N342" i="1" s="1"/>
  <c r="N341" i="1" s="1" a="1"/>
  <c r="N341" i="1" s="1"/>
  <c r="N264" i="1" a="1"/>
  <c r="N264" i="1" s="1"/>
  <c r="N263" i="1" s="1" a="1"/>
  <c r="N263" i="1" s="1"/>
  <c r="N233" i="1" s="1" a="1"/>
  <c r="N233" i="1" s="1"/>
  <c r="N232" i="1" s="1" a="1"/>
  <c r="N232" i="1" s="1"/>
  <c r="N172" i="1" s="1" a="1"/>
  <c r="N172" i="1" s="1"/>
  <c r="N171" i="1" s="1" a="1"/>
  <c r="N171" i="1" s="1"/>
  <c r="N5" i="1" s="1" a="1"/>
  <c r="N5" i="1" s="1"/>
  <c r="N4" i="1" s="1" a="1"/>
  <c r="N4" i="1" s="1"/>
  <c r="N301" i="1" a="1"/>
  <c r="N301" i="1" s="1"/>
  <c r="N289" i="1" s="1" a="1"/>
  <c r="N289" i="1" s="1"/>
  <c r="K3" i="1" a="1"/>
  <c r="K3" i="1" s="1"/>
  <c r="N94" i="1" a="1"/>
  <c r="N94" i="1" s="1"/>
  <c r="N93" i="1" s="1" a="1"/>
  <c r="N93" i="1" s="1"/>
  <c r="N76" i="1" s="1" a="1"/>
  <c r="N76" i="1" s="1"/>
  <c r="N75" i="1" s="1" a="1"/>
  <c r="N75" i="1" s="1"/>
  <c r="N251" i="1" a="1"/>
  <c r="N251" i="1" s="1"/>
  <c r="N250" i="1" s="1" a="1"/>
  <c r="N250" i="1" s="1"/>
  <c r="N135" i="1" a="1"/>
  <c r="N135" i="1" s="1"/>
  <c r="N122" i="1" s="1" a="1"/>
  <c r="N122" i="1" s="1"/>
  <c r="N114" i="1" s="1" a="1"/>
  <c r="N114" i="1" s="1"/>
  <c r="N225" i="1" a="1"/>
  <c r="N225" i="1" s="1"/>
  <c r="N224" i="1" s="1" a="1"/>
  <c r="N224" i="1" s="1"/>
  <c r="N206" i="1" s="1" a="1"/>
  <c r="N206" i="1" s="1"/>
  <c r="N204" i="1" s="1" a="1"/>
  <c r="N204" i="1" s="1"/>
  <c r="N203" i="1" s="1" a="1"/>
  <c r="N203" i="1" s="1"/>
  <c r="N329" i="1" a="1"/>
  <c r="N329" i="1" s="1"/>
  <c r="N328" i="1" s="1" a="1"/>
  <c r="N328" i="1" s="1"/>
  <c r="N283" i="1" s="1" a="1"/>
  <c r="N283" i="1" s="1"/>
  <c r="N282" i="1" s="1" a="1"/>
  <c r="N282" i="1" s="1"/>
  <c r="N248" i="1" s="1" a="1"/>
  <c r="N248" i="1" s="1"/>
  <c r="N247" i="1" s="1" a="1"/>
  <c r="N247" i="1" s="1"/>
  <c r="N218" i="1" s="1" a="1"/>
  <c r="N218" i="1" s="1"/>
  <c r="N217" i="1" s="1" a="1"/>
  <c r="N217" i="1" s="1"/>
  <c r="N174" i="1" s="1" a="1"/>
  <c r="N174" i="1" s="1"/>
  <c r="N304" i="1" a="1"/>
  <c r="N304" i="1" s="1"/>
  <c r="N17" i="1" a="1"/>
  <c r="N17" i="1" s="1"/>
  <c r="N256" i="1" a="1"/>
  <c r="N256" i="1" s="1"/>
  <c r="N255" i="1" s="1" a="1"/>
  <c r="N255" i="1" s="1"/>
  <c r="N338" i="1" a="1"/>
  <c r="N338" i="1" s="1"/>
  <c r="N319" i="1" s="1" a="1"/>
  <c r="N319" i="1" s="1"/>
  <c r="N318" i="1" s="1" a="1"/>
  <c r="N318" i="1" s="1"/>
  <c r="N236" i="1" s="1" a="1"/>
  <c r="N236" i="1" s="1"/>
  <c r="N221" i="1" s="1" a="1"/>
  <c r="N221" i="1" s="1"/>
  <c r="N220" i="1" s="1" a="1"/>
  <c r="N220" i="1" s="1"/>
  <c r="N128" i="1" a="1"/>
  <c r="N128" i="1" s="1"/>
  <c r="N37" i="1" s="1" a="1"/>
  <c r="N37" i="1" s="1"/>
  <c r="N189" i="1" a="1"/>
  <c r="N189" i="1" s="1"/>
  <c r="N50" i="1" s="1" a="1"/>
  <c r="N50" i="1" s="1"/>
  <c r="N46" i="1" a="1"/>
  <c r="N46" i="1" s="1"/>
  <c r="N333" i="1" a="1"/>
  <c r="N333" i="1" s="1"/>
  <c r="N332" i="1" s="1" a="1"/>
  <c r="N332" i="1" s="1"/>
  <c r="N309" i="1" s="1" a="1"/>
  <c r="N309" i="1" s="1"/>
  <c r="N308" i="1" s="1" a="1"/>
  <c r="N308" i="1" s="1"/>
  <c r="N305" i="1" s="1" a="1"/>
  <c r="N305" i="1" s="1"/>
  <c r="N302" i="1" s="1" a="1"/>
  <c r="N302" i="1" s="1"/>
  <c r="N249" i="1" s="1" a="1"/>
  <c r="N249" i="1" s="1"/>
  <c r="N140" i="1" s="1" a="1"/>
  <c r="N140" i="1" s="1"/>
  <c r="N130" i="1" s="1" a="1"/>
  <c r="N130" i="1" s="1"/>
  <c r="N113" i="1" s="1" a="1"/>
  <c r="N113" i="1" s="1"/>
  <c r="N74" i="1" s="1" a="1"/>
  <c r="N74" i="1" s="1"/>
  <c r="N35" i="1" s="1" a="1"/>
  <c r="N35" i="1" s="1"/>
  <c r="N293" i="1" a="1"/>
  <c r="N293" i="1" s="1"/>
  <c r="N118" i="1" s="1" a="1"/>
  <c r="N118" i="1" s="1"/>
  <c r="N279" i="1" a="1"/>
  <c r="N279" i="1" s="1"/>
  <c r="N223" i="1" s="1" a="1"/>
  <c r="N223" i="1" s="1"/>
  <c r="N222" i="1" s="1" a="1"/>
  <c r="N222" i="1" s="1"/>
  <c r="K5" i="1" a="1"/>
  <c r="K5" i="1" s="1"/>
  <c r="N190" i="1" a="1"/>
  <c r="N190" i="1" s="1"/>
  <c r="N168" i="1" s="1" a="1"/>
  <c r="N168" i="1" s="1"/>
  <c r="N240" i="1" a="1"/>
  <c r="N240" i="1" s="1"/>
  <c r="N239" i="1" s="1" a="1"/>
  <c r="N239" i="1" s="1"/>
  <c r="N169" i="1" s="1" a="1"/>
  <c r="N169" i="1" s="1"/>
  <c r="N196" i="1" a="1"/>
  <c r="N196" i="1" s="1"/>
  <c r="K328" i="1" a="1"/>
  <c r="K328" i="1" s="1"/>
  <c r="N278" i="1" a="1"/>
  <c r="N278" i="1" s="1"/>
  <c r="N288" i="1" a="1"/>
  <c r="N288" i="1" s="1"/>
  <c r="N303" i="1" a="1"/>
  <c r="N303" i="1" s="1"/>
  <c r="N209" i="1" s="1" a="1"/>
  <c r="N209" i="1" s="1"/>
  <c r="N26" i="1" s="1" a="1"/>
  <c r="N26" i="1" s="1"/>
  <c r="N27" i="1" a="1"/>
  <c r="N27" i="1" s="1"/>
  <c r="N19" i="1" s="1" a="1"/>
  <c r="N19" i="1" s="1"/>
  <c r="N73" i="1" a="1"/>
  <c r="N73" i="1" s="1"/>
  <c r="N44" i="1" s="1" a="1"/>
  <c r="N44" i="1" s="1"/>
  <c r="N43" i="1" s="1" a="1"/>
  <c r="N43" i="1" s="1"/>
  <c r="K233" i="1" a="1"/>
  <c r="K233" i="1" s="1"/>
  <c r="N163" i="1" a="1"/>
  <c r="N163" i="1" s="1"/>
  <c r="N86" i="1" s="1" a="1"/>
  <c r="N86" i="1" s="1"/>
  <c r="N262" i="1" a="1"/>
  <c r="N262" i="1" s="1"/>
  <c r="N261" i="1" s="1" a="1"/>
  <c r="N261" i="1" s="1"/>
  <c r="N327" i="1" a="1"/>
  <c r="N327" i="1" s="1"/>
  <c r="N52" i="1" s="1" a="1"/>
  <c r="N52" i="1" s="1"/>
  <c r="N277" i="1" a="1"/>
  <c r="N277" i="1" s="1"/>
  <c r="N205" i="1" s="1" a="1"/>
  <c r="N205" i="1" s="1"/>
  <c r="N287" i="1" a="1"/>
  <c r="N287" i="1" s="1"/>
  <c r="K26" i="1" a="1"/>
  <c r="K26" i="1" s="1"/>
  <c r="N72" i="1" a="1"/>
  <c r="N72" i="1" s="1"/>
  <c r="N45" i="1" s="1" a="1"/>
  <c r="N45" i="1" s="1"/>
  <c r="N111" i="1" a="1"/>
  <c r="N111" i="1" s="1"/>
  <c r="N162" i="1" a="1"/>
  <c r="N162" i="1" s="1"/>
  <c r="N32" i="1" s="1" a="1"/>
  <c r="N32" i="1" s="1"/>
  <c r="K41" i="1" a="1"/>
  <c r="K41" i="1" s="1"/>
  <c r="N141" i="1" a="1"/>
  <c r="N141" i="1" s="1"/>
  <c r="N121" i="1" s="1" a="1"/>
  <c r="N121" i="1" s="1"/>
  <c r="N82" i="1" s="1" a="1"/>
  <c r="N82" i="1" s="1"/>
  <c r="N77" i="1" s="1" a="1"/>
  <c r="N77" i="1" s="1"/>
  <c r="N28" i="1" s="1" a="1"/>
  <c r="N28" i="1" s="1"/>
  <c r="N153" i="1" a="1"/>
  <c r="N153" i="1" s="1"/>
  <c r="N152" i="1" s="1" a="1"/>
  <c r="N152" i="1" s="1"/>
  <c r="N66" i="1" s="1" a="1"/>
  <c r="N66" i="1" s="1"/>
  <c r="N65" i="1" s="1" a="1"/>
  <c r="N65" i="1" s="1"/>
  <c r="N200" i="1" a="1"/>
  <c r="N200" i="1" s="1"/>
  <c r="N178" i="1" s="1" a="1"/>
  <c r="N178" i="1" s="1"/>
  <c r="N21" i="1" s="1" a="1"/>
  <c r="N21" i="1" s="1"/>
  <c r="N326" i="1" a="1"/>
  <c r="N326" i="1" s="1"/>
  <c r="N325" i="1" s="1" a="1"/>
  <c r="N325" i="1" s="1"/>
  <c r="N274" i="1" a="1"/>
  <c r="N274" i="1" s="1"/>
  <c r="N273" i="1" s="1" a="1"/>
  <c r="N273" i="1" s="1"/>
  <c r="N55" i="1" s="1" a="1"/>
  <c r="N55" i="1" s="1"/>
  <c r="N54" i="1" s="1" a="1"/>
  <c r="N54" i="1" s="1"/>
  <c r="N276" i="1" a="1"/>
  <c r="N276" i="1" s="1"/>
  <c r="N199" i="1" s="1" a="1"/>
  <c r="N199" i="1" s="1"/>
  <c r="N335" i="1" a="1"/>
  <c r="N335" i="1" s="1"/>
  <c r="N297" i="1" s="1" a="1"/>
  <c r="N297" i="1" s="1"/>
  <c r="N14" i="1" s="1" a="1"/>
  <c r="N14" i="1" s="1"/>
  <c r="N134" i="1" a="1"/>
  <c r="N134" i="1" s="1"/>
  <c r="N133" i="1" s="1" a="1"/>
  <c r="N133" i="1" s="1"/>
  <c r="N34" i="1" s="1" a="1"/>
  <c r="N34" i="1" s="1"/>
  <c r="N33" i="1" s="1" a="1"/>
  <c r="N33" i="1" s="1"/>
  <c r="K84" i="1" a="1"/>
  <c r="K84" i="1" s="1"/>
  <c r="K67" i="1" a="1"/>
  <c r="K67" i="1" s="1"/>
  <c r="N246" i="1" a="1"/>
  <c r="N246" i="1" s="1"/>
  <c r="N245" i="1" s="1" a="1"/>
  <c r="N245" i="1" s="1"/>
  <c r="N62" i="1" a="1"/>
  <c r="N62" i="1" s="1"/>
  <c r="N155" i="1" a="1"/>
  <c r="N155" i="1" s="1"/>
  <c r="N154" i="1" s="1" a="1"/>
  <c r="N154" i="1" s="1"/>
  <c r="N112" i="1" s="1" a="1"/>
  <c r="N112" i="1" s="1"/>
  <c r="N215" i="1" a="1"/>
  <c r="N215" i="1" s="1"/>
  <c r="N103" i="1" s="1" a="1"/>
  <c r="N103" i="1" s="1"/>
  <c r="N90" i="1" s="1" a="1"/>
  <c r="N90" i="1" s="1"/>
  <c r="N81" i="1" s="1" a="1"/>
  <c r="N81" i="1" s="1"/>
  <c r="N80" i="1" s="1" a="1"/>
  <c r="N80" i="1" s="1"/>
  <c r="N60" i="1" s="1" a="1"/>
  <c r="N60" i="1" s="1"/>
  <c r="N313" i="1" a="1"/>
  <c r="N313" i="1" s="1"/>
  <c r="N312" i="1" s="1" a="1"/>
  <c r="N312" i="1" s="1"/>
  <c r="N285" i="1" s="1" a="1"/>
  <c r="N285" i="1" s="1"/>
  <c r="N284" i="1" s="1" a="1"/>
  <c r="N284" i="1" s="1"/>
  <c r="N321" i="1" a="1"/>
  <c r="N321" i="1" s="1"/>
  <c r="N78" i="1" s="1" a="1"/>
  <c r="N78" i="1" s="1"/>
  <c r="N56" i="1" s="1" a="1"/>
  <c r="N56" i="1" s="1"/>
  <c r="N3" i="1" s="1" a="1"/>
  <c r="N3" i="1" s="1"/>
  <c r="N295" i="1" a="1"/>
  <c r="N295" i="1" s="1"/>
  <c r="N228" i="1" s="1" a="1"/>
  <c r="N228" i="1" s="1"/>
  <c r="N97" i="1" s="1" a="1"/>
  <c r="N97" i="1" s="1"/>
  <c r="K116" i="1" a="1"/>
  <c r="K116" i="1" s="1"/>
  <c r="K76" i="1" a="1"/>
  <c r="K76" i="1" s="1"/>
  <c r="N105" i="1" a="1"/>
  <c r="N105" i="1" s="1"/>
  <c r="N53" i="1" s="1" a="1"/>
  <c r="N53" i="1" s="1"/>
  <c r="N161" i="1" a="1"/>
  <c r="N161" i="1" s="1"/>
  <c r="N160" i="1" s="1" a="1"/>
  <c r="N160" i="1" s="1"/>
  <c r="K174" i="1" a="1"/>
  <c r="K174" i="1" s="1"/>
  <c r="N243" i="1" a="1"/>
  <c r="N243" i="1" s="1"/>
  <c r="K58" i="1" a="1"/>
  <c r="K58" i="1" s="1"/>
  <c r="K44" i="1" a="1"/>
  <c r="K44" i="1" s="1"/>
  <c r="K199" i="1" a="1"/>
  <c r="K199" i="1" s="1"/>
  <c r="N331" i="1" a="1"/>
  <c r="N331" i="1" s="1"/>
  <c r="N330" i="1" s="1" a="1"/>
  <c r="N330" i="1" s="1"/>
  <c r="N306" i="1" s="1" a="1"/>
  <c r="N306" i="1" s="1"/>
  <c r="N281" i="1" s="1" a="1"/>
  <c r="N281" i="1" s="1"/>
  <c r="N208" i="1" s="1" a="1"/>
  <c r="N208" i="1" s="1"/>
  <c r="N339" i="1" a="1"/>
  <c r="N339" i="1" s="1"/>
  <c r="N336" i="1" s="1" a="1"/>
  <c r="N336" i="1" s="1"/>
  <c r="N316" i="1" s="1" a="1"/>
  <c r="N316" i="1" s="1"/>
  <c r="N315" i="1" s="1" a="1"/>
  <c r="N315" i="1" s="1"/>
  <c r="N280" i="1" s="1" a="1"/>
  <c r="N280" i="1" s="1"/>
  <c r="N117" i="1" s="1" a="1"/>
  <c r="N117" i="1" s="1"/>
  <c r="N30" i="1" s="1" a="1"/>
  <c r="N30" i="1" s="1"/>
  <c r="N2" i="1" s="1" a="1"/>
  <c r="N2" i="1" s="1"/>
  <c r="N291" i="1" a="1"/>
  <c r="N291" i="1" s="1"/>
  <c r="N290" i="1" s="1" a="1"/>
  <c r="N290" i="1" s="1"/>
  <c r="N227" i="1" s="1" a="1"/>
  <c r="N227" i="1" s="1"/>
  <c r="N7" i="1" s="1" a="1"/>
  <c r="N7" i="1" s="1"/>
  <c r="N6" i="1" s="1" a="1"/>
  <c r="N6" i="1" s="1"/>
  <c r="N92" i="1" a="1"/>
  <c r="N92" i="1" s="1"/>
  <c r="N91" i="1" s="1" a="1"/>
  <c r="N91" i="1" s="1"/>
  <c r="N101" i="1" a="1"/>
  <c r="N101" i="1" s="1"/>
  <c r="N100" i="1" s="1" a="1"/>
  <c r="N100" i="1" s="1"/>
  <c r="N67" i="1" s="1" a="1"/>
  <c r="N67" i="1" s="1"/>
  <c r="N10" i="1" a="1"/>
  <c r="N10" i="1" s="1"/>
  <c r="N16" i="1" a="1"/>
  <c r="N16" i="1" s="1"/>
  <c r="K122" i="1" a="1"/>
  <c r="K122" i="1" s="1"/>
  <c r="N71" i="1" a="1"/>
  <c r="N71" i="1" s="1"/>
  <c r="N70" i="1" s="1" a="1"/>
  <c r="N70" i="1" s="1"/>
  <c r="K90" i="1" a="1"/>
  <c r="K90" i="1" s="1"/>
  <c r="N110" i="1" a="1"/>
  <c r="N110" i="1" s="1"/>
  <c r="N182" i="1" a="1"/>
  <c r="N182" i="1" s="1"/>
  <c r="N181" i="1" s="1" a="1"/>
  <c r="N181" i="1" s="1"/>
  <c r="N120" i="1" s="1" a="1"/>
  <c r="N120" i="1" s="1"/>
  <c r="N61" i="1" s="1" a="1"/>
  <c r="N61" i="1" s="1"/>
  <c r="N260" i="1" a="1"/>
  <c r="N260" i="1" s="1"/>
  <c r="N259" i="1" s="1" a="1"/>
  <c r="N259" i="1" s="1"/>
  <c r="K219" i="1" a="1"/>
  <c r="K219" i="1" s="1"/>
  <c r="N275" i="1" a="1"/>
  <c r="N275" i="1" s="1"/>
  <c r="N212" i="1" s="1" a="1"/>
  <c r="N212" i="1" s="1"/>
  <c r="N334" i="1" a="1"/>
  <c r="N334" i="1" s="1"/>
  <c r="N296" i="1" s="1" a="1"/>
  <c r="N296" i="1" s="1"/>
  <c r="K131" i="1" a="1"/>
  <c r="K131" i="1" s="1"/>
  <c r="K87" i="1" a="1"/>
  <c r="K87" i="1" s="1"/>
  <c r="K179" i="1" a="1"/>
  <c r="K179" i="1" s="1"/>
  <c r="N244" i="1" a="1"/>
  <c r="N244" i="1" s="1"/>
  <c r="N234" i="1" s="1" a="1"/>
  <c r="N234" i="1" s="1"/>
  <c r="N201" i="1" s="1" a="1"/>
  <c r="N201" i="1" s="1"/>
  <c r="N42" i="1" s="1" a="1"/>
  <c r="N42" i="1" s="1"/>
  <c r="N63" i="1" a="1"/>
  <c r="N63" i="1" s="1"/>
  <c r="N49" i="1" a="1"/>
  <c r="N49" i="1" s="1"/>
  <c r="N147" i="1" a="1"/>
  <c r="N147" i="1" s="1"/>
  <c r="N146" i="1" s="1" a="1"/>
  <c r="N146" i="1" s="1"/>
  <c r="N145" i="1" s="1" a="1"/>
  <c r="N145" i="1" s="1"/>
  <c r="N144" i="1" s="1" a="1"/>
  <c r="N144" i="1" s="1"/>
  <c r="N132" i="1" s="1" a="1"/>
  <c r="N132" i="1" s="1"/>
  <c r="N131" i="1" s="1" a="1"/>
  <c r="N131" i="1" s="1"/>
  <c r="N156" i="1" a="1"/>
  <c r="N156" i="1" s="1"/>
  <c r="N216" i="1" a="1"/>
  <c r="N216" i="1" s="1"/>
  <c r="K322" i="1" a="1"/>
  <c r="K322" i="1" s="1"/>
  <c r="K310" i="1" a="1"/>
  <c r="K310" i="1" s="1"/>
  <c r="N270" i="1" a="1"/>
  <c r="N270" i="1" s="1"/>
  <c r="N269" i="1" s="1" a="1"/>
  <c r="N269" i="1" s="1"/>
  <c r="K282" i="1" a="1"/>
  <c r="K282" i="1" s="1"/>
  <c r="N129" i="1" a="1"/>
  <c r="N129" i="1" s="1"/>
  <c r="N183" i="1" a="1"/>
  <c r="N183" i="1" s="1"/>
  <c r="N142" i="1" s="1" a="1"/>
  <c r="N142" i="1" s="1"/>
  <c r="N127" i="1" a="1"/>
  <c r="N127" i="1" s="1"/>
  <c r="N126" i="1" s="1" a="1"/>
  <c r="N126" i="1" s="1"/>
  <c r="N39" i="1" s="1" a="1"/>
  <c r="N39" i="1" s="1"/>
  <c r="K106" i="1" a="1"/>
  <c r="K106" i="1" s="1"/>
  <c r="N159" i="1" a="1"/>
  <c r="N159" i="1" s="1"/>
  <c r="N88" i="1" s="1" a="1"/>
  <c r="N88" i="1" s="1"/>
  <c r="N340" i="1" a="1"/>
  <c r="N340" i="1" s="1"/>
  <c r="N337" i="1" s="1" a="1"/>
  <c r="N337" i="1" s="1"/>
  <c r="N317" i="1" s="1" a="1"/>
  <c r="N317" i="1" s="1"/>
  <c r="N314" i="1" s="1" a="1"/>
  <c r="N314" i="1" s="1"/>
  <c r="N286" i="1" s="1" a="1"/>
  <c r="N286" i="1" s="1"/>
  <c r="N266" i="1" a="1"/>
  <c r="N266" i="1" s="1"/>
  <c r="N265" i="1" s="1" a="1"/>
  <c r="N265" i="1" s="1"/>
  <c r="N292" i="1" a="1"/>
  <c r="N292" i="1" s="1"/>
  <c r="N235" i="1" s="1" a="1"/>
  <c r="N235" i="1" s="1"/>
  <c r="N195" i="1" s="1" a="1"/>
  <c r="N195" i="1" s="1"/>
  <c r="N300" i="1" a="1"/>
  <c r="N300" i="1" s="1"/>
  <c r="N299" i="1" s="1" a="1"/>
  <c r="N299" i="1" s="1"/>
  <c r="N9" i="1" a="1"/>
  <c r="N9" i="1" s="1"/>
  <c r="N15" i="1" a="1"/>
  <c r="N15" i="1" s="1"/>
  <c r="N8" i="1" s="1" a="1"/>
  <c r="N8" i="1" s="1"/>
  <c r="K28" i="1" a="1"/>
  <c r="K28" i="1" s="1"/>
  <c r="N109" i="1" a="1"/>
  <c r="N109" i="1" s="1"/>
  <c r="N106" i="1" s="1" a="1"/>
  <c r="N106" i="1" s="1"/>
  <c r="N12" i="1" s="1" a="1"/>
  <c r="N12" i="1" s="1"/>
  <c r="N238" i="1" a="1"/>
  <c r="N238" i="1" s="1"/>
  <c r="N237" i="1" s="1" a="1"/>
  <c r="N237" i="1" s="1"/>
  <c r="N25" i="1" s="1" a="1"/>
  <c r="N25" i="1" s="1"/>
  <c r="N11" i="1" s="1" a="1"/>
  <c r="N11" i="1" s="1"/>
  <c r="N51" i="1" a="1"/>
  <c r="N51" i="1" s="1"/>
  <c r="N158" i="1" a="1"/>
  <c r="N158" i="1" s="1"/>
  <c r="N87" i="1" s="1" a="1"/>
  <c r="N87" i="1" s="1"/>
  <c r="N324" i="1" a="1"/>
  <c r="N324" i="1" s="1"/>
  <c r="N231" i="1" s="1" a="1"/>
  <c r="N231" i="1" s="1"/>
  <c r="N38" i="1" s="1" a="1"/>
  <c r="N38" i="1" s="1"/>
  <c r="N307" i="1" a="1"/>
  <c r="N307" i="1" s="1"/>
  <c r="N143" i="1" s="1" a="1"/>
  <c r="N143" i="1" s="1"/>
  <c r="N272" i="1" a="1"/>
  <c r="N272" i="1" s="1"/>
  <c r="N271" i="1" s="1" a="1"/>
  <c r="N271" i="1" s="1"/>
  <c r="N165" i="1" s="1" a="1"/>
  <c r="N165" i="1" s="1"/>
  <c r="N164" i="1" s="1" a="1"/>
  <c r="N164" i="1" s="1"/>
  <c r="N137" i="1" s="1" a="1"/>
  <c r="N137" i="1" s="1"/>
  <c r="N136" i="1" s="1" a="1"/>
  <c r="N136" i="1" s="1"/>
  <c r="N119" i="1" s="1" a="1"/>
  <c r="N119" i="1" s="1"/>
  <c r="N116" i="1" s="1" a="1"/>
  <c r="N116" i="1" s="1"/>
  <c r="N115" i="1" s="1" a="1"/>
  <c r="N115" i="1" s="1"/>
  <c r="N20" i="1" s="1" a="1"/>
  <c r="N20" i="1" s="1"/>
  <c r="N298" i="1" a="1"/>
  <c r="N298" i="1" s="1"/>
  <c r="N177" i="1" s="1" a="1"/>
  <c r="N177" i="1" s="1"/>
  <c r="N96" i="1" s="1" a="1"/>
  <c r="N96" i="1" s="1"/>
  <c r="N346" i="1" a="1"/>
  <c r="N346" i="1" s="1"/>
  <c r="N345" i="1" s="1" a="1"/>
  <c r="N345" i="1" s="1"/>
  <c r="N29" i="1" a="1"/>
  <c r="N29" i="1" s="1"/>
  <c r="K68" i="1" a="1"/>
  <c r="K68" i="1" s="1"/>
  <c r="K98" i="1" a="1"/>
  <c r="K98" i="1" s="1"/>
  <c r="N254" i="1" a="1"/>
  <c r="N254" i="1" s="1"/>
  <c r="N253" i="1" s="1" a="1"/>
  <c r="N253" i="1" s="1"/>
  <c r="N213" i="1" a="1"/>
  <c r="N213" i="1" s="1"/>
  <c r="N210" i="1" s="1" a="1"/>
  <c r="N210" i="1" s="1"/>
  <c r="N102" i="1" s="1" a="1"/>
  <c r="N102" i="1" s="1"/>
  <c r="N89" i="1" s="1" a="1"/>
  <c r="N89" i="1" s="1"/>
  <c r="N79" i="1" s="1" a="1"/>
  <c r="N79" i="1" s="1"/>
  <c r="N59" i="1" s="1" a="1"/>
  <c r="N59" i="1" s="1"/>
  <c r="N64" i="1" a="1"/>
  <c r="N64" i="1" s="1"/>
  <c r="N187" i="1" a="1"/>
  <c r="N187" i="1" s="1"/>
  <c r="N83" i="1" s="1" a="1"/>
  <c r="N83" i="1" s="1"/>
  <c r="N69" i="1" a="1"/>
  <c r="N69" i="1" s="1"/>
  <c r="N68" i="1" s="1" a="1"/>
  <c r="N68" i="1" s="1"/>
  <c r="N85" i="1" a="1"/>
  <c r="N85" i="1" s="1"/>
  <c r="N84" i="1" s="1" a="1"/>
  <c r="N84" i="1" s="1"/>
  <c r="N180" i="1" a="1"/>
  <c r="N180" i="1" s="1"/>
  <c r="N179" i="1" s="1" a="1"/>
  <c r="N179" i="1" s="1"/>
  <c r="N157" i="1" s="1" a="1"/>
  <c r="N157" i="1" s="1"/>
  <c r="N258" i="1" a="1"/>
  <c r="N258" i="1" s="1"/>
  <c r="N257" i="1" s="1" a="1"/>
  <c r="N257" i="1" s="1"/>
  <c r="N323" i="1" a="1"/>
  <c r="N323" i="1" s="1"/>
  <c r="N322" i="1" s="1" a="1"/>
  <c r="N322" i="1" s="1"/>
  <c r="N311" i="1" a="1"/>
  <c r="N311" i="1" s="1"/>
  <c r="N310" i="1" s="1" a="1"/>
  <c r="N310" i="1" s="1"/>
  <c r="K222" i="1" a="1"/>
  <c r="K222" i="1" s="1"/>
  <c r="K96" i="1" a="1"/>
  <c r="K96" i="1" s="1"/>
  <c r="K265" i="1" a="1"/>
  <c r="K265" i="1" s="1"/>
  <c r="K120" i="1" a="1"/>
  <c r="K120" i="1" s="1"/>
  <c r="K103" i="1" a="1"/>
  <c r="K103" i="1" s="1"/>
  <c r="K247" i="1" a="1"/>
  <c r="K247" i="1" s="1"/>
  <c r="K316" i="1" a="1"/>
  <c r="K316" i="1" s="1"/>
  <c r="K123" i="1" a="1"/>
  <c r="K123" i="1" s="1"/>
  <c r="K81" i="1" a="1"/>
  <c r="K81" i="1" s="1"/>
  <c r="K93" i="1" a="1"/>
  <c r="K93" i="1" s="1"/>
  <c r="K171" i="1" a="1"/>
  <c r="K171" i="1" s="1"/>
  <c r="K208" i="1" a="1"/>
  <c r="K208" i="1" s="1"/>
  <c r="K305" i="1" a="1"/>
  <c r="K305" i="1" s="1"/>
  <c r="K245" i="1" a="1"/>
  <c r="K245" i="1" s="1"/>
  <c r="K255" i="1" a="1"/>
  <c r="K255" i="1" s="1"/>
  <c r="K145" i="1" a="1"/>
  <c r="K145" i="1" s="1"/>
  <c r="K154" i="1" a="1"/>
  <c r="K154" i="1" s="1"/>
  <c r="K113" i="1" a="1"/>
  <c r="K113" i="1" s="1"/>
  <c r="K144" i="1" a="1"/>
  <c r="K144" i="1" s="1"/>
  <c r="K104" i="1" a="1"/>
  <c r="K104" i="1" s="1"/>
  <c r="K57" i="1" a="1"/>
  <c r="K57" i="1" s="1"/>
  <c r="K118" i="1" a="1"/>
  <c r="K118" i="1" s="1"/>
  <c r="K195" i="1" a="1"/>
  <c r="K195" i="1" s="1"/>
  <c r="K319" i="1" a="1"/>
  <c r="K319" i="1" s="1"/>
  <c r="K112" i="1" a="1"/>
  <c r="K112" i="1" s="1"/>
  <c r="K248" i="1" a="1"/>
  <c r="K248" i="1" s="1"/>
  <c r="K126" i="1" a="1"/>
  <c r="K126" i="1" s="1"/>
  <c r="K317" i="1" a="1"/>
  <c r="K317" i="1" s="1"/>
  <c r="K173" i="1" a="1"/>
  <c r="K173" i="1" s="1"/>
  <c r="K8" i="1" a="1"/>
  <c r="K8" i="1" s="1"/>
  <c r="K12" i="1" a="1"/>
  <c r="K12" i="1" s="1"/>
  <c r="K117" i="1" a="1"/>
  <c r="K117" i="1" s="1"/>
  <c r="K309" i="1" a="1"/>
  <c r="K309" i="1" s="1"/>
  <c r="K286" i="1" a="1"/>
  <c r="K286" i="1" s="1"/>
  <c r="K167" i="1" a="1"/>
  <c r="K167" i="1" s="1"/>
  <c r="K312" i="1" a="1"/>
  <c r="K312" i="1" s="1"/>
  <c r="K285" i="1" a="1"/>
  <c r="K285" i="1" s="1"/>
  <c r="K77" i="1" a="1"/>
  <c r="K77" i="1" s="1"/>
  <c r="K88" i="1" a="1"/>
  <c r="K88" i="1" s="1"/>
  <c r="K42" i="1" a="1"/>
  <c r="K42" i="1" s="1"/>
  <c r="J105" i="1" a="1"/>
  <c r="J105" i="1" s="1"/>
  <c r="J53" i="1" s="1" a="1"/>
  <c r="J53" i="1" s="1"/>
  <c r="K105" i="1" a="1"/>
  <c r="K105" i="1" s="1"/>
  <c r="K211" i="1" a="1"/>
  <c r="K211" i="1" s="1"/>
  <c r="K299" i="1" a="1"/>
  <c r="K299" i="1" s="1"/>
  <c r="J342" i="1" a="1"/>
  <c r="J342" i="1" s="1"/>
  <c r="J341" i="1" s="1" a="1"/>
  <c r="J341" i="1" s="1"/>
  <c r="J338" i="1" s="1" a="1"/>
  <c r="J338" i="1" s="1"/>
  <c r="J319" i="1" s="1" a="1"/>
  <c r="J319" i="1" s="1"/>
  <c r="J318" i="1" s="1" a="1"/>
  <c r="J318" i="1" s="1"/>
  <c r="K342" i="1" a="1"/>
  <c r="K342" i="1" s="1"/>
  <c r="K119" i="1" a="1"/>
  <c r="K119" i="1" s="1"/>
  <c r="J23" i="1" a="1"/>
  <c r="J23" i="1" s="1"/>
  <c r="K23" i="1" a="1"/>
  <c r="K23" i="1" s="1"/>
  <c r="K128" i="1" a="1"/>
  <c r="K128" i="1" s="1"/>
  <c r="J128" i="1" a="1"/>
  <c r="J128" i="1" s="1"/>
  <c r="K99" i="1" a="1"/>
  <c r="K99" i="1" s="1"/>
  <c r="J99" i="1" a="1"/>
  <c r="J99" i="1" s="1"/>
  <c r="J24" i="1" s="1" a="1"/>
  <c r="J24" i="1" s="1"/>
  <c r="K189" i="1" a="1"/>
  <c r="K189" i="1" s="1"/>
  <c r="J189" i="1" a="1"/>
  <c r="J189" i="1" s="1"/>
  <c r="J50" i="1" s="1" a="1"/>
  <c r="J50" i="1" s="1"/>
  <c r="J183" i="1" a="1"/>
  <c r="J183" i="1" s="1"/>
  <c r="J142" i="1" s="1" a="1"/>
  <c r="J142" i="1" s="1"/>
  <c r="K183" i="1" a="1"/>
  <c r="K183" i="1" s="1"/>
  <c r="K176" i="1" a="1"/>
  <c r="K176" i="1" s="1"/>
  <c r="K249" i="1" a="1"/>
  <c r="K249" i="1" s="1"/>
  <c r="K254" i="1" a="1"/>
  <c r="K254" i="1" s="1"/>
  <c r="J254" i="1" a="1"/>
  <c r="J254" i="1" s="1"/>
  <c r="J253" i="1" s="1" a="1"/>
  <c r="J253" i="1" s="1"/>
  <c r="K60" i="1" a="1"/>
  <c r="K60" i="1" s="1"/>
  <c r="K46" i="1" a="1"/>
  <c r="K46" i="1" s="1"/>
  <c r="J46" i="1" a="1"/>
  <c r="J46" i="1" s="1"/>
  <c r="K193" i="1" a="1"/>
  <c r="K193" i="1" s="1"/>
  <c r="J193" i="1" a="1"/>
  <c r="J193" i="1" s="1"/>
  <c r="J191" i="1" s="1" a="1"/>
  <c r="J191" i="1" s="1"/>
  <c r="J213" i="1" a="1"/>
  <c r="J213" i="1" s="1"/>
  <c r="J210" i="1" s="1" a="1"/>
  <c r="J210" i="1" s="1"/>
  <c r="J102" i="1" s="1" a="1"/>
  <c r="J102" i="1" s="1"/>
  <c r="J89" i="1" s="1" a="1"/>
  <c r="J89" i="1" s="1"/>
  <c r="J79" i="1" s="1" a="1"/>
  <c r="J79" i="1" s="1"/>
  <c r="J59" i="1" s="1" a="1"/>
  <c r="J59" i="1" s="1"/>
  <c r="K213" i="1" a="1"/>
  <c r="K213" i="1" s="1"/>
  <c r="J333" i="1" a="1"/>
  <c r="J333" i="1" s="1"/>
  <c r="J332" i="1" s="1" a="1"/>
  <c r="J332" i="1" s="1"/>
  <c r="J309" i="1" s="1" a="1"/>
  <c r="J309" i="1" s="1"/>
  <c r="J308" i="1" s="1" a="1"/>
  <c r="J308" i="1" s="1"/>
  <c r="J305" i="1" s="1" a="1"/>
  <c r="J305" i="1" s="1"/>
  <c r="J302" i="1" s="1" a="1"/>
  <c r="J302" i="1" s="1"/>
  <c r="J249" i="1" s="1" a="1"/>
  <c r="J249" i="1" s="1"/>
  <c r="J140" i="1" s="1" a="1"/>
  <c r="J140" i="1" s="1"/>
  <c r="J130" i="1" s="1" a="1"/>
  <c r="J130" i="1" s="1"/>
  <c r="J113" i="1" s="1" a="1"/>
  <c r="J113" i="1" s="1"/>
  <c r="J74" i="1" s="1" a="1"/>
  <c r="J74" i="1" s="1"/>
  <c r="J35" i="1" s="1" a="1"/>
  <c r="J35" i="1" s="1"/>
  <c r="K333" i="1" a="1"/>
  <c r="K333" i="1" s="1"/>
  <c r="K336" i="1" a="1"/>
  <c r="K336" i="1" s="1"/>
  <c r="K267" i="1" a="1"/>
  <c r="K267" i="1" s="1"/>
  <c r="K293" i="1" a="1"/>
  <c r="K293" i="1" s="1"/>
  <c r="J293" i="1" a="1"/>
  <c r="J293" i="1" s="1"/>
  <c r="J118" i="1" s="1" a="1"/>
  <c r="J118" i="1" s="1"/>
  <c r="K279" i="1" a="1"/>
  <c r="K279" i="1" s="1"/>
  <c r="J279" i="1" a="1"/>
  <c r="J279" i="1" s="1"/>
  <c r="J223" i="1" s="1" a="1"/>
  <c r="J223" i="1" s="1"/>
  <c r="J222" i="1" s="1" a="1"/>
  <c r="J222" i="1" s="1"/>
  <c r="K345" i="1" a="1"/>
  <c r="K345" i="1" s="1"/>
  <c r="K127" i="1" a="1"/>
  <c r="K127" i="1" s="1"/>
  <c r="J127" i="1" a="1"/>
  <c r="J127" i="1" s="1"/>
  <c r="J126" i="1" s="1" a="1"/>
  <c r="J126" i="1" s="1"/>
  <c r="J39" i="1" s="1" a="1"/>
  <c r="J39" i="1" s="1"/>
  <c r="K64" i="1" a="1"/>
  <c r="K64" i="1" s="1"/>
  <c r="K188" i="1" a="1"/>
  <c r="K188" i="1" s="1"/>
  <c r="J188" i="1" a="1"/>
  <c r="J188" i="1" s="1"/>
  <c r="J170" i="1" s="1" a="1"/>
  <c r="J170" i="1" s="1"/>
  <c r="J159" i="1" a="1"/>
  <c r="J159" i="1" s="1"/>
  <c r="J88" i="1" s="1" a="1"/>
  <c r="J88" i="1" s="1"/>
  <c r="K159" i="1" a="1"/>
  <c r="K159" i="1" s="1"/>
  <c r="K175" i="1" a="1"/>
  <c r="K175" i="1" s="1"/>
  <c r="K253" i="1" a="1"/>
  <c r="K253" i="1" s="1"/>
  <c r="K59" i="1" a="1"/>
  <c r="K59" i="1" s="1"/>
  <c r="K45" i="1" a="1"/>
  <c r="K45" i="1" s="1"/>
  <c r="K194" i="1" a="1"/>
  <c r="K194" i="1" s="1"/>
  <c r="K212" i="1" a="1"/>
  <c r="K212" i="1" s="1"/>
  <c r="K332" i="1" a="1"/>
  <c r="K332" i="1" s="1"/>
  <c r="K318" i="1" a="1"/>
  <c r="K318" i="1" s="1"/>
  <c r="J340" i="1" a="1"/>
  <c r="J340" i="1" s="1"/>
  <c r="J337" i="1" s="1" a="1"/>
  <c r="J337" i="1" s="1"/>
  <c r="J317" i="1" s="1" a="1"/>
  <c r="J317" i="1" s="1"/>
  <c r="J314" i="1" s="1" a="1"/>
  <c r="J314" i="1" s="1"/>
  <c r="J286" i="1" s="1" a="1"/>
  <c r="J286" i="1" s="1"/>
  <c r="K340" i="1" a="1"/>
  <c r="K340" i="1" s="1"/>
  <c r="J266" i="1" a="1"/>
  <c r="J266" i="1" s="1"/>
  <c r="J265" i="1" s="1" a="1"/>
  <c r="J265" i="1" s="1"/>
  <c r="K266" i="1" a="1"/>
  <c r="K266" i="1" s="1"/>
  <c r="K292" i="1" a="1"/>
  <c r="K292" i="1" s="1"/>
  <c r="J292" i="1" a="1"/>
  <c r="J292" i="1" s="1"/>
  <c r="J235" i="1" s="1" a="1"/>
  <c r="J235" i="1" s="1"/>
  <c r="J195" i="1" s="1" a="1"/>
  <c r="J195" i="1" s="1"/>
  <c r="K300" i="1" a="1"/>
  <c r="K300" i="1" s="1"/>
  <c r="J300" i="1" a="1"/>
  <c r="J300" i="1" s="1"/>
  <c r="J299" i="1" s="1" a="1"/>
  <c r="J299" i="1" s="1"/>
  <c r="J161" i="1" a="1"/>
  <c r="J161" i="1" s="1"/>
  <c r="J160" i="1" s="1" a="1"/>
  <c r="J160" i="1" s="1"/>
  <c r="K161" i="1" a="1"/>
  <c r="K161" i="1" s="1"/>
  <c r="K243" i="1" a="1"/>
  <c r="K243" i="1" s="1"/>
  <c r="J243" i="1" a="1"/>
  <c r="J243" i="1" s="1"/>
  <c r="J64" i="1" s="1" a="1"/>
  <c r="J64" i="1" s="1"/>
  <c r="J331" i="1" a="1"/>
  <c r="J331" i="1" s="1"/>
  <c r="J330" i="1" s="1" a="1"/>
  <c r="J330" i="1" s="1"/>
  <c r="J306" i="1" s="1" a="1"/>
  <c r="J306" i="1" s="1"/>
  <c r="J281" i="1" s="1" a="1"/>
  <c r="J281" i="1" s="1"/>
  <c r="J208" i="1" s="1" a="1"/>
  <c r="J208" i="1" s="1"/>
  <c r="K331" i="1" a="1"/>
  <c r="K331" i="1" s="1"/>
  <c r="K75" i="1" a="1"/>
  <c r="K75" i="1" s="1"/>
  <c r="K252" i="1" a="1"/>
  <c r="K252" i="1" s="1"/>
  <c r="J252" i="1" a="1"/>
  <c r="J252" i="1" s="1"/>
  <c r="J211" i="1" s="1" a="1"/>
  <c r="J211" i="1" s="1"/>
  <c r="J175" i="1" s="1" a="1"/>
  <c r="J175" i="1" s="1"/>
  <c r="K19" i="1" a="1"/>
  <c r="K19" i="1" s="1"/>
  <c r="K124" i="1" a="1"/>
  <c r="K124" i="1" s="1"/>
  <c r="K74" i="1" a="1"/>
  <c r="K74" i="1" s="1"/>
  <c r="J94" i="1" a="1"/>
  <c r="J94" i="1" s="1"/>
  <c r="J93" i="1" s="1" a="1"/>
  <c r="J93" i="1" s="1"/>
  <c r="J76" i="1" s="1" a="1"/>
  <c r="J76" i="1" s="1"/>
  <c r="J75" i="1" s="1" a="1"/>
  <c r="J75" i="1" s="1"/>
  <c r="K94" i="1" a="1"/>
  <c r="K94" i="1" s="1"/>
  <c r="K191" i="1" a="1"/>
  <c r="K191" i="1" s="1"/>
  <c r="K172" i="1" a="1"/>
  <c r="K172" i="1" s="1"/>
  <c r="J251" i="1" a="1"/>
  <c r="J251" i="1" s="1"/>
  <c r="J250" i="1" s="1" a="1"/>
  <c r="J250" i="1" s="1"/>
  <c r="K251" i="1" a="1"/>
  <c r="K251" i="1" s="1"/>
  <c r="K241" i="1" a="1"/>
  <c r="K241" i="1" s="1"/>
  <c r="K56" i="1" a="1"/>
  <c r="K56" i="1" s="1"/>
  <c r="K135" i="1" a="1"/>
  <c r="K135" i="1" s="1"/>
  <c r="J135" i="1" a="1"/>
  <c r="J135" i="1" s="1"/>
  <c r="J122" i="1" s="1" a="1"/>
  <c r="J122" i="1" s="1"/>
  <c r="J114" i="1" s="1" a="1"/>
  <c r="J114" i="1" s="1"/>
  <c r="K150" i="1" a="1"/>
  <c r="K150" i="1" s="1"/>
  <c r="K197" i="1" a="1"/>
  <c r="K197" i="1" s="1"/>
  <c r="K209" i="1" a="1"/>
  <c r="K209" i="1" s="1"/>
  <c r="K225" i="1" a="1"/>
  <c r="K225" i="1" s="1"/>
  <c r="J225" i="1" a="1"/>
  <c r="J225" i="1" s="1"/>
  <c r="J224" i="1" s="1" a="1"/>
  <c r="J224" i="1" s="1"/>
  <c r="J329" i="1" a="1"/>
  <c r="J329" i="1" s="1"/>
  <c r="J328" i="1" s="1" a="1"/>
  <c r="J328" i="1" s="1"/>
  <c r="J283" i="1" s="1" a="1"/>
  <c r="J283" i="1" s="1"/>
  <c r="J282" i="1" s="1" a="1"/>
  <c r="J282" i="1" s="1"/>
  <c r="J248" i="1" s="1" a="1"/>
  <c r="J248" i="1" s="1"/>
  <c r="J247" i="1" s="1" a="1"/>
  <c r="J247" i="1" s="1"/>
  <c r="J218" i="1" s="1" a="1"/>
  <c r="J218" i="1" s="1"/>
  <c r="J217" i="1" s="1" a="1"/>
  <c r="J217" i="1" s="1"/>
  <c r="J174" i="1" s="1" a="1"/>
  <c r="J174" i="1" s="1"/>
  <c r="K329" i="1" a="1"/>
  <c r="K329" i="1" s="1"/>
  <c r="K315" i="1" a="1"/>
  <c r="K315" i="1" s="1"/>
  <c r="K341" i="1" a="1"/>
  <c r="K341" i="1" s="1"/>
  <c r="K263" i="1" a="1"/>
  <c r="K263" i="1" s="1"/>
  <c r="K289" i="1" a="1"/>
  <c r="K289" i="1" s="1"/>
  <c r="J304" i="1" a="1"/>
  <c r="J304" i="1" s="1"/>
  <c r="K304" i="1" a="1"/>
  <c r="K304" i="1" s="1"/>
  <c r="K4" i="1" a="1"/>
  <c r="K4" i="1" s="1"/>
  <c r="J151" i="1" a="1"/>
  <c r="J151" i="1" s="1"/>
  <c r="J150" i="1" s="1" a="1"/>
  <c r="J150" i="1" s="1"/>
  <c r="J41" i="1" s="1" a="1"/>
  <c r="J41" i="1" s="1"/>
  <c r="J40" i="1" s="1" a="1"/>
  <c r="J40" i="1" s="1"/>
  <c r="K151" i="1" a="1"/>
  <c r="K151" i="1" s="1"/>
  <c r="K250" i="1" a="1"/>
  <c r="K250" i="1" s="1"/>
  <c r="K224" i="1" a="1"/>
  <c r="K224" i="1" s="1"/>
  <c r="J303" i="1" a="1"/>
  <c r="J303" i="1" s="1"/>
  <c r="J209" i="1" s="1" a="1"/>
  <c r="J209" i="1" s="1"/>
  <c r="J26" i="1" s="1" a="1"/>
  <c r="J26" i="1" s="1"/>
  <c r="K303" i="1" a="1"/>
  <c r="K303" i="1" s="1"/>
  <c r="K101" i="1" a="1"/>
  <c r="K101" i="1" s="1"/>
  <c r="J101" i="1" a="1"/>
  <c r="J101" i="1" s="1"/>
  <c r="J100" i="1" s="1" a="1"/>
  <c r="J100" i="1" s="1"/>
  <c r="J67" i="1" s="1" a="1"/>
  <c r="J67" i="1" s="1"/>
  <c r="J327" i="1" a="1"/>
  <c r="J327" i="1" s="1"/>
  <c r="J52" i="1" s="1" a="1"/>
  <c r="J52" i="1" s="1"/>
  <c r="K327" i="1" a="1"/>
  <c r="K327" i="1" s="1"/>
  <c r="J277" i="1" a="1"/>
  <c r="J277" i="1" s="1"/>
  <c r="J205" i="1" s="1" a="1"/>
  <c r="J205" i="1" s="1"/>
  <c r="K277" i="1" a="1"/>
  <c r="K277" i="1" s="1"/>
  <c r="K91" i="1" a="1"/>
  <c r="K91" i="1" s="1"/>
  <c r="K162" i="1" a="1"/>
  <c r="K162" i="1" s="1"/>
  <c r="J162" i="1" a="1"/>
  <c r="J162" i="1" s="1"/>
  <c r="J32" i="1" s="1" a="1"/>
  <c r="J32" i="1" s="1"/>
  <c r="J274" i="1" a="1"/>
  <c r="J274" i="1" s="1"/>
  <c r="J273" i="1" s="1" a="1"/>
  <c r="J273" i="1" s="1"/>
  <c r="J55" i="1" s="1" a="1"/>
  <c r="J55" i="1" s="1"/>
  <c r="J54" i="1" s="1" a="1"/>
  <c r="J54" i="1" s="1"/>
  <c r="K274" i="1" a="1"/>
  <c r="K274" i="1" s="1"/>
  <c r="J276" i="1" a="1"/>
  <c r="J276" i="1" s="1"/>
  <c r="J199" i="1" s="1" a="1"/>
  <c r="J199" i="1" s="1"/>
  <c r="K276" i="1" a="1"/>
  <c r="K276" i="1" s="1"/>
  <c r="K335" i="1" a="1"/>
  <c r="K335" i="1" s="1"/>
  <c r="J335" i="1" a="1"/>
  <c r="J335" i="1" s="1"/>
  <c r="J297" i="1" s="1" a="1"/>
  <c r="J297" i="1" s="1"/>
  <c r="K10" i="1" a="1"/>
  <c r="K10" i="1" s="1"/>
  <c r="J10" i="1" a="1"/>
  <c r="J10" i="1" s="1"/>
  <c r="J71" i="1" a="1"/>
  <c r="J71" i="1" s="1"/>
  <c r="J70" i="1" s="1" a="1"/>
  <c r="J70" i="1" s="1"/>
  <c r="K71" i="1" a="1"/>
  <c r="K71" i="1" s="1"/>
  <c r="K52" i="1" a="1"/>
  <c r="K52" i="1" s="1"/>
  <c r="K205" i="1" a="1"/>
  <c r="K205" i="1" s="1"/>
  <c r="J334" i="1" a="1"/>
  <c r="J334" i="1" s="1"/>
  <c r="K334" i="1" a="1"/>
  <c r="K334" i="1" s="1"/>
  <c r="K9" i="1" a="1"/>
  <c r="K9" i="1" s="1"/>
  <c r="J9" i="1" a="1"/>
  <c r="J9" i="1" s="1"/>
  <c r="J15" i="1" a="1"/>
  <c r="J15" i="1" s="1"/>
  <c r="J8" i="1" s="1" a="1"/>
  <c r="J8" i="1" s="1"/>
  <c r="K15" i="1" a="1"/>
  <c r="K15" i="1" s="1"/>
  <c r="K121" i="1" a="1"/>
  <c r="K121" i="1" s="1"/>
  <c r="K70" i="1" a="1"/>
  <c r="K70" i="1" s="1"/>
  <c r="K89" i="1" a="1"/>
  <c r="K89" i="1" s="1"/>
  <c r="K109" i="1" a="1"/>
  <c r="K109" i="1" s="1"/>
  <c r="J109" i="1" a="1"/>
  <c r="J109" i="1" s="1"/>
  <c r="J106" i="1" s="1" a="1"/>
  <c r="J106" i="1" s="1"/>
  <c r="J12" i="1" s="1" a="1"/>
  <c r="J12" i="1" s="1"/>
  <c r="K238" i="1" a="1"/>
  <c r="K238" i="1" s="1"/>
  <c r="J238" i="1" a="1"/>
  <c r="J238" i="1" s="1"/>
  <c r="J237" i="1" s="1" a="1"/>
  <c r="J237" i="1" s="1"/>
  <c r="J25" i="1" s="1" a="1"/>
  <c r="J25" i="1" s="1"/>
  <c r="J11" i="1" s="1" a="1"/>
  <c r="J11" i="1" s="1"/>
  <c r="K181" i="1" a="1"/>
  <c r="K181" i="1" s="1"/>
  <c r="K259" i="1" a="1"/>
  <c r="K259" i="1" s="1"/>
  <c r="K39" i="1" a="1"/>
  <c r="K39" i="1" s="1"/>
  <c r="J51" i="1" a="1"/>
  <c r="J51" i="1" s="1"/>
  <c r="K51" i="1" a="1"/>
  <c r="K51" i="1" s="1"/>
  <c r="J158" i="1" a="1"/>
  <c r="J158" i="1" s="1"/>
  <c r="J87" i="1" s="1" a="1"/>
  <c r="J87" i="1" s="1"/>
  <c r="K158" i="1" a="1"/>
  <c r="K158" i="1" s="1"/>
  <c r="K218" i="1" a="1"/>
  <c r="K218" i="1" s="1"/>
  <c r="J324" i="1" a="1"/>
  <c r="J324" i="1" s="1"/>
  <c r="J231" i="1" s="1" a="1"/>
  <c r="J231" i="1" s="1"/>
  <c r="J38" i="1" s="1" a="1"/>
  <c r="J38" i="1" s="1"/>
  <c r="K324" i="1" a="1"/>
  <c r="K324" i="1" s="1"/>
  <c r="K307" i="1" a="1"/>
  <c r="K307" i="1" s="1"/>
  <c r="J307" i="1" a="1"/>
  <c r="J307" i="1" s="1"/>
  <c r="K143" i="1" s="1" a="1"/>
  <c r="K143" i="1" s="1"/>
  <c r="K272" i="1" a="1"/>
  <c r="K272" i="1" s="1"/>
  <c r="J272" i="1" a="1"/>
  <c r="J272" i="1" s="1"/>
  <c r="J271" i="1" s="1" a="1"/>
  <c r="J271" i="1" s="1"/>
  <c r="J165" i="1" s="1" a="1"/>
  <c r="J165" i="1" s="1"/>
  <c r="J164" i="1" s="1" a="1"/>
  <c r="J164" i="1" s="1"/>
  <c r="J137" i="1" s="1" a="1"/>
  <c r="J137" i="1" s="1"/>
  <c r="J136" i="1" s="1" a="1"/>
  <c r="J136" i="1" s="1"/>
  <c r="J119" i="1" s="1" a="1"/>
  <c r="J119" i="1" s="1"/>
  <c r="J116" i="1" s="1" a="1"/>
  <c r="J116" i="1" s="1"/>
  <c r="J115" i="1" s="1" a="1"/>
  <c r="J115" i="1" s="1"/>
  <c r="K298" i="1" a="1"/>
  <c r="K298" i="1" s="1"/>
  <c r="J298" i="1" a="1"/>
  <c r="J298" i="1" s="1"/>
  <c r="J177" i="1" s="1" a="1"/>
  <c r="J177" i="1" s="1"/>
  <c r="J96" i="1" s="1" a="1"/>
  <c r="J96" i="1" s="1"/>
  <c r="K284" i="1" a="1"/>
  <c r="K284" i="1" s="1"/>
  <c r="K346" i="1" a="1"/>
  <c r="K346" i="1" s="1"/>
  <c r="J346" i="1" a="1"/>
  <c r="J346" i="1" s="1"/>
  <c r="J345" i="1" s="1" a="1"/>
  <c r="J345" i="1" s="1"/>
  <c r="K95" i="1" a="1"/>
  <c r="K95" i="1" s="1"/>
  <c r="J95" i="1" a="1"/>
  <c r="J95" i="1" s="1"/>
  <c r="K43" i="1" a="1"/>
  <c r="K43" i="1" s="1"/>
  <c r="K240" i="1" a="1"/>
  <c r="K240" i="1" s="1"/>
  <c r="J240" i="1" a="1"/>
  <c r="J240" i="1" s="1"/>
  <c r="J239" i="1" s="1" a="1"/>
  <c r="J239" i="1" s="1"/>
  <c r="J169" i="1" s="1" a="1"/>
  <c r="J169" i="1" s="1"/>
  <c r="J196" i="1" a="1"/>
  <c r="J196" i="1" s="1"/>
  <c r="K196" i="1" a="1"/>
  <c r="K196" i="1" s="1"/>
  <c r="K288" i="1" a="1"/>
  <c r="K288" i="1" s="1"/>
  <c r="J288" i="1" a="1"/>
  <c r="J288" i="1" s="1"/>
  <c r="J27" i="1" a="1"/>
  <c r="J27" i="1" s="1"/>
  <c r="J19" i="1" s="1" a="1"/>
  <c r="J19" i="1" s="1"/>
  <c r="K27" i="1" a="1"/>
  <c r="K27" i="1" s="1"/>
  <c r="K92" i="1" a="1"/>
  <c r="K92" i="1" s="1"/>
  <c r="J92" i="1" a="1"/>
  <c r="J92" i="1" s="1"/>
  <c r="J91" i="1" s="1" a="1"/>
  <c r="J91" i="1" s="1"/>
  <c r="K239" i="1" a="1"/>
  <c r="K239" i="1" s="1"/>
  <c r="K302" i="1" a="1"/>
  <c r="K302" i="1" s="1"/>
  <c r="J111" i="1" a="1"/>
  <c r="J111" i="1" s="1"/>
  <c r="K111" i="1" a="1"/>
  <c r="K111" i="1" s="1"/>
  <c r="K232" i="1" a="1"/>
  <c r="K232" i="1" s="1"/>
  <c r="K261" i="1" a="1"/>
  <c r="K261" i="1" s="1"/>
  <c r="K153" i="1" a="1"/>
  <c r="K153" i="1" s="1"/>
  <c r="J153" i="1" a="1"/>
  <c r="J153" i="1" s="1"/>
  <c r="J152" i="1" s="1" a="1"/>
  <c r="J152" i="1" s="1"/>
  <c r="J66" i="1" s="1" a="1"/>
  <c r="J66" i="1" s="1"/>
  <c r="J65" i="1" s="1" a="1"/>
  <c r="J65" i="1" s="1"/>
  <c r="K200" i="1" a="1"/>
  <c r="K200" i="1" s="1"/>
  <c r="J200" i="1" a="1"/>
  <c r="J200" i="1" s="1"/>
  <c r="J178" i="1" s="1" a="1"/>
  <c r="J178" i="1" s="1"/>
  <c r="J21" i="1" s="1" a="1"/>
  <c r="J21" i="1" s="1"/>
  <c r="K326" i="1" a="1"/>
  <c r="K326" i="1" s="1"/>
  <c r="J326" i="1" a="1"/>
  <c r="J326" i="1" s="1"/>
  <c r="J325" i="1" s="1" a="1"/>
  <c r="J325" i="1" s="1"/>
  <c r="K16" i="1" a="1"/>
  <c r="K16" i="1" s="1"/>
  <c r="J16" i="1" a="1"/>
  <c r="J16" i="1" s="1"/>
  <c r="K78" i="1" a="1"/>
  <c r="K78" i="1" s="1"/>
  <c r="K234" i="1" a="1"/>
  <c r="K234" i="1" s="1"/>
  <c r="K40" i="1" a="1"/>
  <c r="K40" i="1" s="1"/>
  <c r="K325" i="1" a="1"/>
  <c r="K325" i="1" s="1"/>
  <c r="J275" i="1" a="1"/>
  <c r="J275" i="1" s="1"/>
  <c r="J212" i="1" s="1" a="1"/>
  <c r="J212" i="1" s="1"/>
  <c r="K275" i="1" a="1"/>
  <c r="K275" i="1" s="1"/>
  <c r="K30" i="1" a="1"/>
  <c r="K30" i="1" s="1"/>
  <c r="K2" i="1" a="1"/>
  <c r="K2" i="1" s="1"/>
  <c r="K132" i="1" a="1"/>
  <c r="K132" i="1" s="1"/>
  <c r="J69" i="1" a="1"/>
  <c r="J69" i="1" s="1"/>
  <c r="J68" i="1" s="1" a="1"/>
  <c r="J68" i="1" s="1"/>
  <c r="K69" i="1" a="1"/>
  <c r="K69" i="1" s="1"/>
  <c r="J85" i="1" a="1"/>
  <c r="J85" i="1" s="1"/>
  <c r="J84" i="1" s="1" a="1"/>
  <c r="J84" i="1" s="1"/>
  <c r="K85" i="1" a="1"/>
  <c r="K85" i="1" s="1"/>
  <c r="K237" i="1" a="1"/>
  <c r="K237" i="1" s="1"/>
  <c r="K180" i="1" a="1"/>
  <c r="K180" i="1" s="1"/>
  <c r="J180" i="1" a="1"/>
  <c r="J180" i="1" s="1"/>
  <c r="J179" i="1" s="1" a="1"/>
  <c r="J179" i="1" s="1"/>
  <c r="J157" i="1" s="1" a="1"/>
  <c r="J157" i="1" s="1"/>
  <c r="J156" i="1" s="1" a="1"/>
  <c r="J156" i="1" s="1"/>
  <c r="K166" i="1" a="1"/>
  <c r="K166" i="1" s="1"/>
  <c r="J258" i="1" a="1"/>
  <c r="J258" i="1" s="1"/>
  <c r="J257" i="1" s="1" a="1"/>
  <c r="J257" i="1" s="1"/>
  <c r="K258" i="1" a="1"/>
  <c r="K258" i="1" s="1"/>
  <c r="K50" i="1" a="1"/>
  <c r="K50" i="1" s="1"/>
  <c r="K217" i="1" a="1"/>
  <c r="K217" i="1" s="1"/>
  <c r="J323" i="1" a="1"/>
  <c r="J323" i="1" s="1"/>
  <c r="J322" i="1" s="1" a="1"/>
  <c r="J322" i="1" s="1"/>
  <c r="J230" i="1" s="1" a="1"/>
  <c r="J230" i="1" s="1"/>
  <c r="J98" i="1" s="1" a="1"/>
  <c r="J98" i="1" s="1"/>
  <c r="K323" i="1" a="1"/>
  <c r="K323" i="1" s="1"/>
  <c r="J311" i="1" a="1"/>
  <c r="J311" i="1" s="1"/>
  <c r="J310" i="1" s="1" a="1"/>
  <c r="J310" i="1" s="1"/>
  <c r="K311" i="1" a="1"/>
  <c r="K311" i="1" s="1"/>
  <c r="K271" i="1" a="1"/>
  <c r="K271" i="1" s="1"/>
  <c r="K297" i="1" a="1"/>
  <c r="K297" i="1" s="1"/>
  <c r="K283" i="1" a="1"/>
  <c r="K283" i="1" s="1"/>
  <c r="K210" i="1" a="1"/>
  <c r="K210" i="1" s="1"/>
  <c r="K330" i="1" a="1"/>
  <c r="K330" i="1" s="1"/>
  <c r="K301" i="1" a="1"/>
  <c r="K301" i="1" s="1"/>
  <c r="J301" i="1" a="1"/>
  <c r="J301" i="1" s="1"/>
  <c r="J289" i="1" s="1" a="1"/>
  <c r="J289" i="1" s="1"/>
  <c r="K37" i="1" a="1"/>
  <c r="K37" i="1" s="1"/>
  <c r="J37" i="1" a="1"/>
  <c r="J37" i="1" s="1"/>
  <c r="K102" i="1" a="1"/>
  <c r="K102" i="1" s="1"/>
  <c r="K80" i="1" a="1"/>
  <c r="K80" i="1" s="1"/>
  <c r="K170" i="1" a="1"/>
  <c r="K170" i="1" s="1"/>
  <c r="K306" i="1" a="1"/>
  <c r="K306" i="1" s="1"/>
  <c r="K53" i="1" a="1"/>
  <c r="K53" i="1" s="1"/>
  <c r="K168" i="1" a="1"/>
  <c r="K168" i="1" s="1"/>
  <c r="K152" i="1" a="1"/>
  <c r="K152" i="1" s="1"/>
  <c r="K29" i="1" a="1"/>
  <c r="K29" i="1" s="1"/>
  <c r="J29" i="1" a="1"/>
  <c r="J29" i="1" s="1"/>
  <c r="J134" i="1" a="1"/>
  <c r="J134" i="1" s="1"/>
  <c r="J133" i="1" s="1" a="1"/>
  <c r="J133" i="1" s="1"/>
  <c r="J34" i="1" s="1" a="1"/>
  <c r="J34" i="1" s="1"/>
  <c r="J33" i="1" s="1" a="1"/>
  <c r="J33" i="1" s="1"/>
  <c r="K134" i="1" a="1"/>
  <c r="K134" i="1" s="1"/>
  <c r="K244" i="1" a="1"/>
  <c r="K244" i="1" s="1"/>
  <c r="J244" i="1" a="1"/>
  <c r="J244" i="1" s="1"/>
  <c r="J234" i="1" s="1" a="1"/>
  <c r="J234" i="1" s="1"/>
  <c r="J201" i="1" s="1" a="1"/>
  <c r="J201" i="1" s="1"/>
  <c r="J42" i="1" s="1" a="1"/>
  <c r="J42" i="1" s="1"/>
  <c r="K257" i="1" a="1"/>
  <c r="K257" i="1" s="1"/>
  <c r="K63" i="1" a="1"/>
  <c r="K63" i="1" s="1"/>
  <c r="J63" i="1" a="1"/>
  <c r="J63" i="1" s="1"/>
  <c r="K49" i="1" a="1"/>
  <c r="K49" i="1" s="1"/>
  <c r="J49" i="1" a="1"/>
  <c r="J49" i="1" s="1"/>
  <c r="K147" i="1" a="1"/>
  <c r="K147" i="1" s="1"/>
  <c r="J147" i="1" a="1"/>
  <c r="J147" i="1" s="1"/>
  <c r="J146" i="1" s="1" a="1"/>
  <c r="J146" i="1" s="1"/>
  <c r="J145" i="1" s="1" a="1"/>
  <c r="J145" i="1" s="1"/>
  <c r="J144" i="1" s="1" a="1"/>
  <c r="J144" i="1" s="1"/>
  <c r="J132" i="1" s="1" a="1"/>
  <c r="J132" i="1" s="1"/>
  <c r="J131" i="1" s="1" a="1"/>
  <c r="J131" i="1" s="1"/>
  <c r="K216" i="1" a="1"/>
  <c r="K216" i="1" s="1"/>
  <c r="J216" i="1" a="1"/>
  <c r="J216" i="1" s="1"/>
  <c r="K314" i="1" a="1"/>
  <c r="K314" i="1" s="1"/>
  <c r="K270" i="1" a="1"/>
  <c r="K270" i="1" s="1"/>
  <c r="J270" i="1" a="1"/>
  <c r="J270" i="1" s="1"/>
  <c r="J269" i="1" s="1" a="1"/>
  <c r="J269" i="1" s="1"/>
  <c r="J296" i="1" a="1"/>
  <c r="J296" i="1" s="1"/>
  <c r="J22" i="1" s="1" a="1"/>
  <c r="J22" i="1" s="1"/>
  <c r="K296" i="1" a="1"/>
  <c r="K296" i="1" s="1"/>
  <c r="J187" i="1" a="1"/>
  <c r="J187" i="1" s="1"/>
  <c r="J83" i="1" s="1" a="1"/>
  <c r="J83" i="1" s="1"/>
  <c r="K187" i="1" a="1"/>
  <c r="K187" i="1" s="1"/>
  <c r="K291" i="1" a="1"/>
  <c r="K291" i="1" s="1"/>
  <c r="J291" i="1" a="1"/>
  <c r="J291" i="1" s="1"/>
  <c r="J290" i="1" s="1" a="1"/>
  <c r="J290" i="1" s="1"/>
  <c r="J227" i="1" s="1" a="1"/>
  <c r="J227" i="1" s="1"/>
  <c r="J7" i="1" s="1" a="1"/>
  <c r="J7" i="1" s="1"/>
  <c r="J6" i="1" s="1" a="1"/>
  <c r="J6" i="1" s="1"/>
  <c r="K115" i="1" a="1"/>
  <c r="K115" i="1" s="1"/>
  <c r="K160" i="1" a="1"/>
  <c r="K160" i="1" s="1"/>
  <c r="K198" i="1" a="1"/>
  <c r="K198" i="1" s="1"/>
  <c r="J198" i="1" a="1"/>
  <c r="J198" i="1" s="1"/>
  <c r="J194" i="1" s="1" a="1"/>
  <c r="J194" i="1" s="1"/>
  <c r="K290" i="1" a="1"/>
  <c r="K290" i="1" s="1"/>
  <c r="J73" i="1" a="1"/>
  <c r="J73" i="1" s="1"/>
  <c r="J44" i="1" s="1" a="1"/>
  <c r="J44" i="1" s="1"/>
  <c r="J43" i="1" s="1" a="1"/>
  <c r="J43" i="1" s="1"/>
  <c r="K73" i="1" a="1"/>
  <c r="K73" i="1" s="1"/>
  <c r="K163" i="1" a="1"/>
  <c r="K163" i="1" s="1"/>
  <c r="J163" i="1" a="1"/>
  <c r="J163" i="1" s="1"/>
  <c r="J86" i="1" s="1" a="1"/>
  <c r="J86" i="1" s="1"/>
  <c r="K262" i="1" a="1"/>
  <c r="K262" i="1" s="1"/>
  <c r="J262" i="1" a="1"/>
  <c r="J262" i="1" s="1"/>
  <c r="J261" i="1" s="1" a="1"/>
  <c r="J261" i="1" s="1"/>
  <c r="K79" i="1" a="1"/>
  <c r="K79" i="1" s="1"/>
  <c r="K169" i="1" a="1"/>
  <c r="K169" i="1" s="1"/>
  <c r="J141" i="1" a="1"/>
  <c r="J141" i="1" s="1"/>
  <c r="J121" i="1" s="1" a="1"/>
  <c r="J121" i="1" s="1"/>
  <c r="J82" i="1" s="1" a="1"/>
  <c r="J82" i="1" s="1"/>
  <c r="J77" i="1" s="1" a="1"/>
  <c r="J77" i="1" s="1"/>
  <c r="J28" i="1" s="1" a="1"/>
  <c r="J28" i="1" s="1"/>
  <c r="K141" i="1" a="1"/>
  <c r="K141" i="1" s="1"/>
  <c r="J110" i="1" a="1"/>
  <c r="J110" i="1" s="1"/>
  <c r="K110" i="1" a="1"/>
  <c r="K110" i="1" s="1"/>
  <c r="K273" i="1" a="1"/>
  <c r="K273" i="1" s="1"/>
  <c r="K31" i="1" a="1"/>
  <c r="K31" i="1" s="1"/>
  <c r="K17" i="1" a="1"/>
  <c r="K17" i="1" s="1"/>
  <c r="J17" i="1" a="1"/>
  <c r="J17" i="1" s="1"/>
  <c r="K133" i="1" a="1"/>
  <c r="K133" i="1" s="1"/>
  <c r="K130" i="1" a="1"/>
  <c r="K130" i="1" s="1"/>
  <c r="K83" i="1" a="1"/>
  <c r="K83" i="1" s="1"/>
  <c r="K86" i="1" a="1"/>
  <c r="K86" i="1" s="1"/>
  <c r="J185" i="1" a="1"/>
  <c r="J185" i="1" s="1"/>
  <c r="J167" i="1" s="1" a="1"/>
  <c r="J167" i="1" s="1"/>
  <c r="J13" i="1" s="1" a="1"/>
  <c r="J13" i="1" s="1"/>
  <c r="K185" i="1" a="1"/>
  <c r="K185" i="1" s="1"/>
  <c r="K178" i="1" a="1"/>
  <c r="K178" i="1" s="1"/>
  <c r="K246" i="1" a="1"/>
  <c r="K246" i="1" s="1"/>
  <c r="J246" i="1" a="1"/>
  <c r="J246" i="1" s="1"/>
  <c r="J245" i="1" s="1" a="1"/>
  <c r="J245" i="1" s="1"/>
  <c r="K256" i="1" a="1"/>
  <c r="K256" i="1" s="1"/>
  <c r="J256" i="1" a="1"/>
  <c r="J256" i="1" s="1"/>
  <c r="J255" i="1" s="1" a="1"/>
  <c r="J255" i="1" s="1"/>
  <c r="J62" i="1" a="1"/>
  <c r="J62" i="1" s="1"/>
  <c r="K62" i="1" a="1"/>
  <c r="K62" i="1" s="1"/>
  <c r="K48" i="1" a="1"/>
  <c r="K48" i="1" s="1"/>
  <c r="J48" i="1" a="1"/>
  <c r="J48" i="1" s="1"/>
  <c r="K146" i="1" a="1"/>
  <c r="K146" i="1" s="1"/>
  <c r="K155" i="1" a="1"/>
  <c r="K155" i="1" s="1"/>
  <c r="J155" i="1" a="1"/>
  <c r="J155" i="1" s="1"/>
  <c r="J154" i="1" s="1" a="1"/>
  <c r="J154" i="1" s="1"/>
  <c r="J112" i="1" s="1" a="1"/>
  <c r="J112" i="1" s="1"/>
  <c r="J215" i="1" a="1"/>
  <c r="J215" i="1" s="1"/>
  <c r="J103" i="1" s="1" a="1"/>
  <c r="J103" i="1" s="1"/>
  <c r="J90" i="1" s="1" a="1"/>
  <c r="J90" i="1" s="1"/>
  <c r="J81" i="1" s="1" a="1"/>
  <c r="J81" i="1" s="1"/>
  <c r="J80" i="1" s="1" a="1"/>
  <c r="J80" i="1" s="1"/>
  <c r="J60" i="1" s="1" a="1"/>
  <c r="J60" i="1" s="1"/>
  <c r="K215" i="1" a="1"/>
  <c r="K215" i="1" s="1"/>
  <c r="K201" i="1" a="1"/>
  <c r="K201" i="1" s="1"/>
  <c r="K313" i="1" a="1"/>
  <c r="K313" i="1" s="1"/>
  <c r="J313" i="1" a="1"/>
  <c r="J313" i="1" s="1"/>
  <c r="J312" i="1" s="1" a="1"/>
  <c r="J312" i="1" s="1"/>
  <c r="J285" i="1" s="1" a="1"/>
  <c r="J285" i="1" s="1"/>
  <c r="J284" i="1" s="1" a="1"/>
  <c r="J284" i="1" s="1"/>
  <c r="J18" i="1" s="1" a="1"/>
  <c r="J18" i="1" s="1"/>
  <c r="K321" i="1" a="1"/>
  <c r="K321" i="1" s="1"/>
  <c r="J321" i="1" a="1"/>
  <c r="J321" i="1" s="1"/>
  <c r="J78" i="1" s="1" a="1"/>
  <c r="J78" i="1" s="1"/>
  <c r="J56" i="1" s="1" a="1"/>
  <c r="J56" i="1" s="1"/>
  <c r="J3" i="1" s="1" a="1"/>
  <c r="J3" i="1" s="1"/>
  <c r="K338" i="1" a="1"/>
  <c r="K338" i="1" s="1"/>
  <c r="K269" i="1" a="1"/>
  <c r="K269" i="1" s="1"/>
  <c r="J295" i="1" a="1"/>
  <c r="J295" i="1" s="1"/>
  <c r="J228" i="1" s="1" a="1"/>
  <c r="J228" i="1" s="1"/>
  <c r="J97" i="1" s="1" a="1"/>
  <c r="J97" i="1" s="1"/>
  <c r="K295" i="1" a="1"/>
  <c r="K295" i="1" s="1"/>
  <c r="K281" i="1" a="1"/>
  <c r="K281" i="1" s="1"/>
  <c r="J339" i="1" a="1"/>
  <c r="J339" i="1" s="1"/>
  <c r="J336" i="1" s="1" a="1"/>
  <c r="J336" i="1" s="1"/>
  <c r="J316" i="1" s="1" a="1"/>
  <c r="J316" i="1" s="1"/>
  <c r="J315" i="1" s="1" a="1"/>
  <c r="J315" i="1" s="1"/>
  <c r="J280" i="1" s="1" a="1"/>
  <c r="J280" i="1" s="1"/>
  <c r="J117" i="1" s="1" a="1"/>
  <c r="J117" i="1" s="1"/>
  <c r="J30" i="1" s="1" a="1"/>
  <c r="J30" i="1" s="1"/>
  <c r="J2" i="1" s="1" a="1"/>
  <c r="J2" i="1" s="1"/>
  <c r="K339" i="1" a="1"/>
  <c r="K339" i="1" s="1"/>
  <c r="K125" i="1" a="1"/>
  <c r="K125" i="1" s="1"/>
  <c r="J125" i="1" a="1"/>
  <c r="J125" i="1" s="1"/>
  <c r="J124" i="1" s="1" a="1"/>
  <c r="J124" i="1" s="1"/>
  <c r="J123" i="1" s="1" a="1"/>
  <c r="J123" i="1" s="1"/>
  <c r="K192" i="1" a="1"/>
  <c r="K192" i="1" s="1"/>
  <c r="J192" i="1" a="1"/>
  <c r="J192" i="1" s="1"/>
  <c r="J57" i="1" s="1" a="1"/>
  <c r="J57" i="1" s="1"/>
  <c r="J36" i="1" s="1" a="1"/>
  <c r="J36" i="1" s="1"/>
  <c r="J242" i="1" a="1"/>
  <c r="J242" i="1" s="1"/>
  <c r="J241" i="1" s="1" a="1"/>
  <c r="J241" i="1" s="1"/>
  <c r="K242" i="1" a="1"/>
  <c r="K242" i="1" s="1"/>
  <c r="K226" i="1" a="1"/>
  <c r="K226" i="1" s="1"/>
  <c r="J226" i="1" a="1"/>
  <c r="J226" i="1" s="1"/>
  <c r="J207" i="1" s="1" a="1"/>
  <c r="J207" i="1" s="1"/>
  <c r="J202" i="1" s="1" a="1"/>
  <c r="J202" i="1" s="1"/>
  <c r="J264" i="1" a="1"/>
  <c r="J264" i="1" s="1"/>
  <c r="J263" i="1" s="1" a="1"/>
  <c r="J263" i="1" s="1"/>
  <c r="J233" i="1" s="1" a="1"/>
  <c r="J233" i="1" s="1"/>
  <c r="J232" i="1" s="1" a="1"/>
  <c r="J232" i="1" s="1"/>
  <c r="J172" i="1" s="1" a="1"/>
  <c r="J172" i="1" s="1"/>
  <c r="J171" i="1" s="1" a="1"/>
  <c r="J171" i="1" s="1"/>
  <c r="J5" i="1" s="1" a="1"/>
  <c r="J5" i="1" s="1"/>
  <c r="J4" i="1" s="1" a="1"/>
  <c r="J4" i="1" s="1"/>
  <c r="K264" i="1" a="1"/>
  <c r="K264" i="1" s="1"/>
  <c r="K190" i="1" a="1"/>
  <c r="K190" i="1" s="1"/>
  <c r="J190" i="1" a="1"/>
  <c r="J190" i="1" s="1"/>
  <c r="J168" i="1" s="1" a="1"/>
  <c r="J168" i="1" s="1"/>
  <c r="J278" i="1" a="1"/>
  <c r="J278" i="1" s="1"/>
  <c r="K278" i="1" a="1"/>
  <c r="K278" i="1" s="1"/>
  <c r="K287" i="1" a="1"/>
  <c r="K287" i="1" s="1"/>
  <c r="J287" i="1" a="1"/>
  <c r="J287" i="1" s="1"/>
  <c r="K72" i="1" a="1"/>
  <c r="K72" i="1" s="1"/>
  <c r="J72" i="1" a="1"/>
  <c r="J72" i="1" s="1"/>
  <c r="J45" i="1" s="1" a="1"/>
  <c r="J45" i="1" s="1"/>
  <c r="K182" i="1" a="1"/>
  <c r="K182" i="1" s="1"/>
  <c r="J182" i="1" a="1"/>
  <c r="J182" i="1" s="1"/>
  <c r="J181" i="1" s="1" a="1"/>
  <c r="J181" i="1" s="1"/>
  <c r="J120" i="1" s="1" a="1"/>
  <c r="J120" i="1" s="1"/>
  <c r="J61" i="1" s="1" a="1"/>
  <c r="J61" i="1" s="1"/>
  <c r="J260" i="1" a="1"/>
  <c r="J260" i="1" s="1"/>
  <c r="J259" i="1" s="1" a="1"/>
  <c r="J259" i="1" s="1"/>
  <c r="K260" i="1" a="1"/>
  <c r="K260" i="1" s="1"/>
  <c r="K308" i="1" a="1"/>
  <c r="K308" i="1" s="1"/>
  <c r="K24" i="1" a="1"/>
  <c r="K24" i="1" s="1"/>
  <c r="K114" i="1" a="1"/>
  <c r="K114" i="1" s="1"/>
  <c r="K129" i="1" a="1"/>
  <c r="K129" i="1" s="1"/>
  <c r="J129" i="1" a="1"/>
  <c r="J129" i="1" s="1"/>
  <c r="K82" i="1" a="1"/>
  <c r="K82" i="1" s="1"/>
  <c r="K100" i="1" a="1"/>
  <c r="K100" i="1" s="1"/>
  <c r="J186" i="1" a="1"/>
  <c r="J186" i="1" s="1"/>
  <c r="J176" i="1" s="1" a="1"/>
  <c r="J176" i="1" s="1"/>
  <c r="J31" i="1" s="1" a="1"/>
  <c r="J31" i="1" s="1"/>
  <c r="K186" i="1" a="1"/>
  <c r="K186" i="1" s="1"/>
  <c r="J184" i="1" a="1"/>
  <c r="J184" i="1" s="1"/>
  <c r="J166" i="1" s="1" a="1"/>
  <c r="J166" i="1" s="1"/>
  <c r="K184" i="1" a="1"/>
  <c r="K184" i="1" s="1"/>
  <c r="K61" i="1" a="1"/>
  <c r="K61" i="1" s="1"/>
  <c r="K47" i="1" a="1"/>
  <c r="K47" i="1" s="1"/>
  <c r="J47" i="1" a="1"/>
  <c r="J47" i="1" s="1"/>
  <c r="J214" i="1" a="1"/>
  <c r="J214" i="1" s="1"/>
  <c r="J104" i="1" s="1" a="1"/>
  <c r="J104" i="1" s="1"/>
  <c r="J58" i="1" s="1" a="1"/>
  <c r="J58" i="1" s="1"/>
  <c r="K214" i="1" a="1"/>
  <c r="K214" i="1" s="1"/>
  <c r="K223" i="1" a="1"/>
  <c r="K223" i="1" s="1"/>
  <c r="K320" i="1" a="1"/>
  <c r="K320" i="1" s="1"/>
  <c r="J320" i="1" a="1"/>
  <c r="J320" i="1" s="1"/>
  <c r="J173" i="1" s="1" a="1"/>
  <c r="J173" i="1" s="1"/>
  <c r="K337" i="1" a="1"/>
  <c r="K337" i="1" s="1"/>
  <c r="J268" i="1" a="1"/>
  <c r="J268" i="1" s="1"/>
  <c r="J267" i="1" s="1" a="1"/>
  <c r="J267" i="1" s="1"/>
  <c r="K268" i="1" a="1"/>
  <c r="K268" i="1" s="1"/>
  <c r="J294" i="1" a="1"/>
  <c r="J294" i="1" s="1"/>
  <c r="J229" i="1" s="1" a="1"/>
  <c r="J229" i="1" s="1"/>
  <c r="J219" i="1" s="1" a="1"/>
  <c r="J219" i="1" s="1"/>
  <c r="J197" i="1" s="1" a="1"/>
  <c r="J197" i="1" s="1"/>
  <c r="K294" i="1" a="1"/>
  <c r="K294" i="1" s="1"/>
  <c r="K280" i="1" a="1"/>
  <c r="K280" i="1" s="1"/>
  <c r="M88" i="3"/>
  <c r="M58" i="3"/>
  <c r="M54" i="3"/>
  <c r="M3" i="3"/>
  <c r="M85" i="3"/>
  <c r="M4" i="3"/>
  <c r="M87" i="3"/>
  <c r="M52" i="3"/>
  <c r="M23" i="3"/>
  <c r="M22" i="3"/>
  <c r="M8" i="3"/>
  <c r="M79" i="3"/>
  <c r="M53" i="3"/>
  <c r="M51" i="3"/>
  <c r="M50" i="3"/>
  <c r="M46" i="3"/>
  <c r="M25" i="3"/>
  <c r="M59" i="3"/>
  <c r="M49" i="3"/>
  <c r="M12" i="3"/>
  <c r="M5" i="3"/>
  <c r="M47" i="3"/>
  <c r="M10" i="3"/>
  <c r="M32" i="3"/>
  <c r="M31" i="3"/>
  <c r="M29" i="3"/>
  <c r="M28" i="3"/>
  <c r="M27" i="3"/>
  <c r="M26" i="3"/>
  <c r="M86" i="3"/>
  <c r="M83" i="3"/>
  <c r="M81" i="3"/>
  <c r="M80" i="3"/>
  <c r="M71" i="3"/>
  <c r="M57" i="3"/>
  <c r="M48" i="3"/>
  <c r="M45" i="3"/>
  <c r="M24" i="3"/>
  <c r="M11" i="3"/>
  <c r="M9" i="3"/>
  <c r="M7" i="3"/>
  <c r="M84" i="3"/>
  <c r="M68" i="3"/>
  <c r="M56" i="3"/>
  <c r="M55" i="3"/>
  <c r="M30" i="3"/>
  <c r="M66" i="3"/>
  <c r="M65" i="3"/>
  <c r="O65" i="3" s="1" a="1"/>
  <c r="O65" i="3" s="1"/>
  <c r="M64" i="3"/>
  <c r="M63" i="3"/>
  <c r="M62" i="3"/>
  <c r="M61" i="3"/>
  <c r="M60" i="3"/>
  <c r="M44" i="3"/>
  <c r="M43" i="3"/>
  <c r="M42" i="3"/>
  <c r="M41" i="3"/>
  <c r="M40" i="3"/>
  <c r="M39" i="3"/>
  <c r="M38" i="3"/>
  <c r="M37" i="3"/>
  <c r="M36" i="3"/>
  <c r="M35" i="3"/>
  <c r="O35" i="3" s="1" a="1"/>
  <c r="O35" i="3" s="1"/>
  <c r="M34" i="3"/>
  <c r="M33" i="3"/>
  <c r="M6" i="3"/>
  <c r="M21" i="3"/>
  <c r="M20" i="3"/>
  <c r="M19" i="3"/>
  <c r="M18" i="3"/>
  <c r="M17" i="3"/>
  <c r="M16" i="3"/>
  <c r="M15" i="3"/>
  <c r="M14" i="3"/>
  <c r="M13" i="3"/>
  <c r="M2" i="3"/>
  <c r="M82" i="3"/>
  <c r="M78" i="3"/>
  <c r="M77" i="3"/>
  <c r="M76" i="3"/>
  <c r="M75" i="3"/>
  <c r="M74" i="3"/>
  <c r="M73" i="3"/>
  <c r="M72" i="3"/>
  <c r="M70" i="3"/>
  <c r="M69" i="3"/>
  <c r="M67" i="3"/>
  <c r="O39" i="3" l="1" a="1"/>
  <c r="O39" i="3" s="1"/>
  <c r="O44" i="3" a="1"/>
  <c r="O44" i="3" s="1"/>
  <c r="P39" i="3" a="1"/>
  <c r="P39" i="3" s="1"/>
  <c r="O40" i="3" a="1"/>
  <c r="O40" i="3" s="1"/>
  <c r="O45" i="3" a="1"/>
  <c r="O45" i="3" s="1"/>
  <c r="P40" i="3" a="1"/>
  <c r="P40" i="3" s="1"/>
  <c r="O76" i="3" a="1"/>
  <c r="O76" i="3" s="1"/>
  <c r="P29" i="3" s="1" a="1"/>
  <c r="P29" i="3" s="1"/>
  <c r="O57" i="3" a="1"/>
  <c r="O57" i="3" s="1"/>
  <c r="P23" i="3" s="1" a="1"/>
  <c r="P23" i="3" s="1"/>
  <c r="O5" i="3" a="1"/>
  <c r="O5" i="3" s="1"/>
  <c r="P4" i="3" s="1" a="1"/>
  <c r="P4" i="3" s="1"/>
  <c r="O61" i="3" a="1"/>
  <c r="O61" i="3" s="1"/>
  <c r="O87" i="3" a="1"/>
  <c r="O87" i="3" s="1"/>
  <c r="O59" i="3" a="1"/>
  <c r="O59" i="3" s="1"/>
  <c r="O85" i="3" a="1"/>
  <c r="O85" i="3" s="1"/>
  <c r="P59" i="3" a="1"/>
  <c r="P59" i="3" s="1"/>
  <c r="O13" i="3" a="1"/>
  <c r="O13" i="3" s="1"/>
  <c r="O41" i="3" a="1"/>
  <c r="O41" i="3" s="1"/>
  <c r="O64" i="3" a="1"/>
  <c r="O64" i="3" s="1"/>
  <c r="P41" i="3" a="1"/>
  <c r="P41" i="3" s="1"/>
  <c r="O81" i="3" a="1"/>
  <c r="O81" i="3" s="1"/>
  <c r="O69" i="3" a="1"/>
  <c r="O69" i="3" s="1"/>
  <c r="P69" i="3" a="1"/>
  <c r="P69" i="3" s="1"/>
  <c r="O34" i="3" a="1"/>
  <c r="O34" i="3" s="1"/>
  <c r="P9" i="3" a="1"/>
  <c r="P9" i="3" s="1"/>
  <c r="O47" i="3" a="1"/>
  <c r="O47" i="3" s="1"/>
  <c r="O46" i="3" s="1" a="1"/>
  <c r="O46" i="3" s="1"/>
  <c r="O48" i="3" a="1"/>
  <c r="O48" i="3" s="1"/>
  <c r="O83" i="3" a="1"/>
  <c r="O83" i="3" s="1"/>
  <c r="O25" i="3" a="1"/>
  <c r="O25" i="3" s="1"/>
  <c r="P22" i="3" s="1" a="1"/>
  <c r="P22" i="3" s="1"/>
  <c r="O22" i="3" a="1"/>
  <c r="O22" i="3" s="1"/>
  <c r="O54" i="3" a="1"/>
  <c r="O54" i="3" s="1"/>
  <c r="O30" i="3" a="1"/>
  <c r="O30" i="3" s="1"/>
  <c r="P30" i="3" a="1"/>
  <c r="P30" i="3" s="1"/>
  <c r="O12" i="3" a="1"/>
  <c r="O12" i="3" s="1"/>
  <c r="O60" i="3" a="1"/>
  <c r="O60" i="3" s="1"/>
  <c r="O86" i="3" a="1"/>
  <c r="O86" i="3" s="1"/>
  <c r="P60" i="3" a="1"/>
  <c r="P60" i="3" s="1"/>
  <c r="O62" i="3" a="1"/>
  <c r="O62" i="3" s="1"/>
  <c r="O88" i="3" a="1"/>
  <c r="O88" i="3" s="1"/>
  <c r="P62" i="3" a="1"/>
  <c r="P62" i="3" s="1"/>
  <c r="O74" i="3" a="1"/>
  <c r="O74" i="3" s="1"/>
  <c r="P52" i="3" s="1" a="1"/>
  <c r="P52" i="3" s="1"/>
  <c r="O52" i="3" a="1"/>
  <c r="O52" i="3" s="1"/>
  <c r="O78" i="3" a="1"/>
  <c r="O78" i="3" s="1"/>
  <c r="P26" i="3" a="1"/>
  <c r="P26" i="3" s="1"/>
  <c r="O70" i="3" a="1"/>
  <c r="O70" i="3" s="1"/>
  <c r="O82" i="3" a="1"/>
  <c r="O82" i="3" s="1"/>
  <c r="P70" i="3" a="1"/>
  <c r="P70" i="3" s="1"/>
  <c r="O18" i="3" a="1"/>
  <c r="O18" i="3" s="1"/>
  <c r="O36" i="3" a="1"/>
  <c r="O36" i="3" s="1"/>
  <c r="P18" i="3" a="1"/>
  <c r="P18" i="3" s="1"/>
  <c r="O66" i="3" a="1"/>
  <c r="O66" i="3" s="1"/>
  <c r="P21" i="3" a="1"/>
  <c r="P21" i="3" s="1"/>
  <c r="O67" i="3" a="1"/>
  <c r="O67" i="3" s="1"/>
  <c r="P20" i="3" s="1" a="1"/>
  <c r="P20" i="3" s="1"/>
  <c r="O15" i="3" a="1"/>
  <c r="O15" i="3" s="1"/>
  <c r="O7" i="3" a="1"/>
  <c r="O7" i="3" s="1"/>
  <c r="O31" i="3" a="1"/>
  <c r="O31" i="3" s="1"/>
  <c r="O55" i="3" a="1"/>
  <c r="O55" i="3" s="1"/>
  <c r="P31" i="3" a="1"/>
  <c r="P31" i="3" s="1"/>
  <c r="O8" i="3" a="1"/>
  <c r="O8" i="3" s="1"/>
  <c r="O16" i="3" a="1"/>
  <c r="O16" i="3" s="1"/>
  <c r="O56" i="3" a="1"/>
  <c r="O56" i="3" s="1"/>
  <c r="P24" i="3" a="1"/>
  <c r="P24" i="3" s="1"/>
  <c r="O77" i="3" a="1"/>
  <c r="O77" i="3" s="1"/>
  <c r="P28" i="3" a="1"/>
  <c r="P28" i="3" s="1"/>
  <c r="O79" i="3" a="1"/>
  <c r="O79" i="3" s="1"/>
  <c r="P27" i="3" a="1"/>
  <c r="P27" i="3" s="1"/>
  <c r="O2" i="3" a="1"/>
  <c r="O2" i="3" s="1"/>
  <c r="O72" i="3" a="1"/>
  <c r="O72" i="3" s="1"/>
  <c r="P50" i="3" s="1" a="1"/>
  <c r="P50" i="3" s="1"/>
  <c r="O50" i="3" a="1"/>
  <c r="O50" i="3" s="1"/>
  <c r="O51" i="3" a="1"/>
  <c r="O51" i="3" s="1"/>
  <c r="O73" i="3" a="1"/>
  <c r="O73" i="3" s="1"/>
  <c r="P51" i="3" a="1"/>
  <c r="P51" i="3" s="1"/>
  <c r="O19" i="3" a="1"/>
  <c r="O19" i="3" s="1"/>
  <c r="P17" i="3" a="1"/>
  <c r="P17" i="3" s="1"/>
  <c r="O43" i="3" a="1"/>
  <c r="O43" i="3" s="1"/>
  <c r="O38" i="3" a="1"/>
  <c r="O38" i="3" s="1"/>
  <c r="P38" i="3" a="1"/>
  <c r="P38" i="3" s="1"/>
  <c r="O3" i="3" a="1"/>
  <c r="O3" i="3" s="1"/>
  <c r="O32" i="3" a="1"/>
  <c r="O32" i="3" s="1"/>
  <c r="I3" i="2" a="1"/>
  <c r="I3" i="2" s="1"/>
  <c r="N344" i="1" a="1"/>
  <c r="N344" i="1" s="1"/>
  <c r="N22" i="1" a="1"/>
  <c r="N22" i="1" s="1"/>
  <c r="N230" i="1" a="1"/>
  <c r="N230" i="1" s="1"/>
  <c r="N98" i="1" s="1" a="1"/>
  <c r="N98" i="1" s="1"/>
  <c r="N18" i="1" a="1"/>
  <c r="N18" i="1" s="1"/>
  <c r="K54" i="1" a="1"/>
  <c r="K54" i="1" s="1"/>
  <c r="K235" i="1" a="1"/>
  <c r="K235" i="1" s="1"/>
  <c r="J143" i="1" a="1"/>
  <c r="J143" i="1" s="1"/>
  <c r="K32" i="1" a="1"/>
  <c r="K32" i="1" s="1"/>
  <c r="K207" i="1" a="1"/>
  <c r="K207" i="1" s="1"/>
  <c r="K66" i="1" a="1"/>
  <c r="K66" i="1" s="1"/>
  <c r="K36" i="1" a="1"/>
  <c r="K36" i="1" s="1"/>
  <c r="K21" i="1" a="1"/>
  <c r="K21" i="1" s="1"/>
  <c r="K142" i="1" a="1"/>
  <c r="K142" i="1" s="1"/>
  <c r="K137" i="1" a="1"/>
  <c r="K137" i="1" s="1"/>
  <c r="K33" i="1" a="1"/>
  <c r="K33" i="1" s="1"/>
  <c r="K35" i="1" a="1"/>
  <c r="K35" i="1" s="1"/>
  <c r="K55" i="1" a="1"/>
  <c r="K55" i="1" s="1"/>
  <c r="K7" i="1" a="1"/>
  <c r="K7" i="1" s="1"/>
  <c r="K202" i="1" a="1"/>
  <c r="K202" i="1" s="1"/>
  <c r="K227" i="1" a="1"/>
  <c r="K227" i="1" s="1"/>
  <c r="K11" i="1" a="1"/>
  <c r="K11" i="1" s="1"/>
  <c r="K25" i="1" a="1"/>
  <c r="K25" i="1" s="1"/>
  <c r="K157" i="1" a="1"/>
  <c r="K157" i="1" s="1"/>
  <c r="K156" i="1" a="1"/>
  <c r="K156" i="1" s="1"/>
  <c r="J20" i="1" a="1"/>
  <c r="J20" i="1" s="1"/>
  <c r="K20" i="1" a="1"/>
  <c r="K20" i="1" s="1"/>
  <c r="J344" i="1" a="1"/>
  <c r="J344" i="1" s="1"/>
  <c r="K344" i="1" a="1"/>
  <c r="K344" i="1" s="1"/>
  <c r="J206" i="1" a="1"/>
  <c r="J206" i="1" s="1"/>
  <c r="K206" i="1" a="1"/>
  <c r="K206" i="1" s="1"/>
  <c r="J14" i="1" a="1"/>
  <c r="J14" i="1" s="1"/>
  <c r="K14" i="1" a="1"/>
  <c r="K14" i="1" s="1"/>
  <c r="K149" i="1" a="1"/>
  <c r="K149" i="1" s="1"/>
  <c r="J149" i="1" a="1"/>
  <c r="J149" i="1" s="1"/>
  <c r="J236" i="1" a="1"/>
  <c r="J236" i="1" s="1"/>
  <c r="K236" i="1" a="1"/>
  <c r="K236" i="1" s="1"/>
  <c r="J108" i="1" a="1"/>
  <c r="J108" i="1" s="1"/>
  <c r="K108" i="1" a="1"/>
  <c r="K108" i="1" s="1"/>
  <c r="K231" i="1" a="1"/>
  <c r="K231" i="1" s="1"/>
  <c r="K140" i="1" a="1"/>
  <c r="K140" i="1" s="1"/>
  <c r="K18" i="1" a="1"/>
  <c r="K18" i="1" s="1"/>
  <c r="K228" i="1" a="1"/>
  <c r="K228" i="1" s="1"/>
  <c r="K34" i="1" a="1"/>
  <c r="K34" i="1" s="1"/>
  <c r="K6" i="1" a="1"/>
  <c r="K6" i="1" s="1"/>
  <c r="K136" i="1" a="1"/>
  <c r="K136" i="1" s="1"/>
  <c r="K164" i="1" a="1"/>
  <c r="K164" i="1" s="1"/>
  <c r="K165" i="1" a="1"/>
  <c r="K165" i="1" s="1"/>
  <c r="K13" i="1" a="1"/>
  <c r="K13" i="1" s="1"/>
  <c r="K38" i="1" a="1"/>
  <c r="K38" i="1" s="1"/>
  <c r="K22" i="1" a="1"/>
  <c r="K22" i="1" s="1"/>
  <c r="K230" i="1" a="1"/>
  <c r="K230" i="1" s="1"/>
  <c r="K65" i="1" a="1"/>
  <c r="K65" i="1" s="1"/>
  <c r="K229" i="1" a="1"/>
  <c r="K229" i="1" s="1"/>
  <c r="P7" i="3" l="1" a="1"/>
  <c r="P7" i="3" s="1"/>
  <c r="O26" i="3" a="1"/>
  <c r="O26" i="3" s="1"/>
  <c r="O4" i="3" a="1"/>
  <c r="O4" i="3" s="1"/>
  <c r="O23" i="3" a="1"/>
  <c r="O23" i="3" s="1"/>
  <c r="O11" i="3" a="1"/>
  <c r="O11" i="3" s="1"/>
  <c r="O20" i="3" a="1"/>
  <c r="O20" i="3" s="1"/>
  <c r="O9" i="3" a="1"/>
  <c r="O9" i="3" s="1"/>
  <c r="P48" i="3" a="1"/>
  <c r="P48" i="3" s="1"/>
  <c r="P11" i="3" a="1"/>
  <c r="P11" i="3" s="1"/>
  <c r="O24" i="3" a="1"/>
  <c r="O24" i="3" s="1"/>
  <c r="P8" i="3" a="1"/>
  <c r="P8" i="3" s="1"/>
  <c r="P3" i="3" a="1"/>
  <c r="P3" i="3" s="1"/>
  <c r="O27" i="3" a="1"/>
  <c r="O27" i="3" s="1"/>
  <c r="O29" i="3" a="1"/>
  <c r="O29" i="3" s="1"/>
  <c r="O17" i="3" a="1"/>
  <c r="O17" i="3" s="1"/>
  <c r="O28" i="3" a="1"/>
  <c r="O28" i="3" s="1"/>
  <c r="O21" i="3" a="1"/>
  <c r="O21" i="3" s="1"/>
  <c r="P61" i="3" a="1"/>
  <c r="P61" i="3" s="1"/>
  <c r="N343" i="1" a="1"/>
  <c r="N343" i="1" s="1"/>
  <c r="J148" i="1" a="1"/>
  <c r="J148" i="1" s="1"/>
  <c r="K148" i="1" a="1"/>
  <c r="K148" i="1" s="1"/>
  <c r="J204" i="1" a="1"/>
  <c r="J204" i="1" s="1"/>
  <c r="K204" i="1" a="1"/>
  <c r="K204" i="1" s="1"/>
  <c r="J221" i="1" a="1"/>
  <c r="J221" i="1" s="1"/>
  <c r="K221" i="1" a="1"/>
  <c r="K221" i="1" s="1"/>
  <c r="J343" i="1" a="1"/>
  <c r="J343" i="1" s="1"/>
  <c r="K343" i="1" a="1"/>
  <c r="K343" i="1" s="1"/>
  <c r="J107" i="1" a="1"/>
  <c r="J107" i="1" s="1"/>
  <c r="K107" i="1" a="1"/>
  <c r="K107" i="1" s="1"/>
  <c r="O10" i="3" l="1" a="1"/>
  <c r="O10" i="3" s="1"/>
  <c r="P10" i="3" a="1"/>
  <c r="P10" i="3" s="1"/>
  <c r="P2" i="3" a="1"/>
  <c r="P2" i="3" s="1"/>
  <c r="J220" i="1" a="1"/>
  <c r="J220" i="1" s="1"/>
  <c r="K220" i="1" a="1"/>
  <c r="K220" i="1" s="1"/>
  <c r="J203" i="1" a="1"/>
  <c r="J203" i="1" s="1"/>
  <c r="K203" i="1" a="1"/>
  <c r="K203" i="1" s="1"/>
  <c r="J139" i="1" a="1"/>
  <c r="J139" i="1" s="1"/>
  <c r="K139" i="1" a="1"/>
  <c r="K139" i="1" s="1"/>
  <c r="J138" i="1" l="1" a="1"/>
  <c r="J138" i="1" s="1"/>
  <c r="K138" i="1" a="1"/>
  <c r="K138" i="1" s="1"/>
  <c r="E9" i="5" l="1"/>
  <c r="K2" i="4"/>
  <c r="K2" i="4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<sst xmlns="http://schemas.openxmlformats.org/spreadsheetml/2006/main" count="1682" uniqueCount="556">
  <si>
    <t>Trade date</t>
  </si>
  <si>
    <t>Activity type</t>
  </si>
  <si>
    <t>Quantity</t>
  </si>
  <si>
    <t>Price</t>
  </si>
  <si>
    <t>Amount</t>
  </si>
  <si>
    <t>10/27/2023</t>
  </si>
  <si>
    <t>08/23/2024</t>
  </si>
  <si>
    <t>12/02/2024</t>
  </si>
  <si>
    <t>12/03/2024</t>
  </si>
  <si>
    <t>12/04/2024</t>
  </si>
  <si>
    <t>12/20/2024</t>
  </si>
  <si>
    <t>12/24/2024</t>
  </si>
  <si>
    <t>12/30/2024</t>
  </si>
  <si>
    <t>02/01/2024</t>
  </si>
  <si>
    <t>02/20/2024</t>
  </si>
  <si>
    <t>03/19/2024</t>
  </si>
  <si>
    <t>05/17/2024</t>
  </si>
  <si>
    <t>11/05/2024</t>
  </si>
  <si>
    <t>11/08/2024</t>
  </si>
  <si>
    <t>11/12/2024</t>
  </si>
  <si>
    <t>11/21/2024</t>
  </si>
  <si>
    <t>10/18/2024</t>
  </si>
  <si>
    <t>10/21/2024</t>
  </si>
  <si>
    <t>04/03/2025</t>
  </si>
  <si>
    <t>04/04/2025</t>
  </si>
  <si>
    <t>04/08/2025</t>
  </si>
  <si>
    <t>04/09/2025</t>
  </si>
  <si>
    <t>04/17/2025</t>
  </si>
  <si>
    <t>04/25/2025</t>
  </si>
  <si>
    <t>04/29/2025</t>
  </si>
  <si>
    <t>04/30/2025</t>
  </si>
  <si>
    <t>08/01/2025</t>
  </si>
  <si>
    <t>08/04/2025</t>
  </si>
  <si>
    <t>08/05/2025</t>
  </si>
  <si>
    <t>08/08/2025</t>
  </si>
  <si>
    <t>08/12/2025</t>
  </si>
  <si>
    <t>08/15/2025</t>
  </si>
  <si>
    <t>08/25/2025</t>
  </si>
  <si>
    <t>05/13/2025</t>
  </si>
  <si>
    <t>12/22/2025</t>
  </si>
  <si>
    <t>12/24/2025</t>
  </si>
  <si>
    <t>12/30/2025</t>
  </si>
  <si>
    <t>02/04/2025</t>
  </si>
  <si>
    <t>01/03/2025</t>
  </si>
  <si>
    <t>01/07/2025</t>
  </si>
  <si>
    <t>01/22/2025</t>
  </si>
  <si>
    <t>01/23/2025</t>
  </si>
  <si>
    <t>01/28/2025</t>
  </si>
  <si>
    <t>07/10/2025</t>
  </si>
  <si>
    <t>07/22/2025</t>
  </si>
  <si>
    <t>07/29/2025</t>
  </si>
  <si>
    <t>07/31/2025</t>
  </si>
  <si>
    <t>06/16/2025</t>
  </si>
  <si>
    <t>03/19/2025</t>
  </si>
  <si>
    <t>03/24/2025</t>
  </si>
  <si>
    <t>03/25/2025</t>
  </si>
  <si>
    <t>05/23/2025</t>
  </si>
  <si>
    <t>05/27/2025</t>
  </si>
  <si>
    <t>05/28/2025</t>
  </si>
  <si>
    <t>11/03/2025</t>
  </si>
  <si>
    <t>11/04/2025</t>
  </si>
  <si>
    <t>11/05/2025</t>
  </si>
  <si>
    <t>11/07/2025</t>
  </si>
  <si>
    <t>11/10/2025</t>
  </si>
  <si>
    <t>11/12/2025</t>
  </si>
  <si>
    <t>11/14/2025</t>
  </si>
  <si>
    <t>11/18/2025</t>
  </si>
  <si>
    <t>10/01/2025</t>
  </si>
  <si>
    <t>10/03/2025</t>
  </si>
  <si>
    <t>10/07/2025</t>
  </si>
  <si>
    <t>10/14/2025</t>
  </si>
  <si>
    <t>10/21/2025</t>
  </si>
  <si>
    <t>09/25/2025</t>
  </si>
  <si>
    <t>04/27/2026</t>
  </si>
  <si>
    <t>02/03/2026</t>
  </si>
  <si>
    <t>02/04/2026</t>
  </si>
  <si>
    <t>02/06/2026</t>
  </si>
  <si>
    <t>02/09/2026</t>
  </si>
  <si>
    <t>02/11/2026</t>
  </si>
  <si>
    <t>02/12/2026</t>
  </si>
  <si>
    <t>02/20/2026</t>
  </si>
  <si>
    <t>01/02/2026</t>
  </si>
  <si>
    <t>01/07/2026</t>
  </si>
  <si>
    <t>01/09/2026</t>
  </si>
  <si>
    <t>01/21/2026</t>
  </si>
  <si>
    <t>01/22/2026</t>
  </si>
  <si>
    <t>03/04/2026</t>
  </si>
  <si>
    <t>03/09/2026</t>
  </si>
  <si>
    <t>03/20/2026</t>
  </si>
  <si>
    <t>03/31/2026</t>
  </si>
  <si>
    <t>BUY</t>
  </si>
  <si>
    <t>SELL</t>
  </si>
  <si>
    <t>FDMT</t>
  </si>
  <si>
    <t>NVO</t>
  </si>
  <si>
    <t>BSV</t>
  </si>
  <si>
    <t>SHV</t>
  </si>
  <si>
    <t>YMAG</t>
  </si>
  <si>
    <t>BTC</t>
  </si>
  <si>
    <t>AMD</t>
  </si>
  <si>
    <t>XLRE</t>
  </si>
  <si>
    <t>APP</t>
  </si>
  <si>
    <t>NU</t>
  </si>
  <si>
    <t>LLY</t>
  </si>
  <si>
    <t>BP</t>
  </si>
  <si>
    <t>BRK.B</t>
  </si>
  <si>
    <t>MAGS</t>
  </si>
  <si>
    <t>BKV</t>
  </si>
  <si>
    <t>CAT</t>
  </si>
  <si>
    <t>EPAM</t>
  </si>
  <si>
    <t>VALE</t>
  </si>
  <si>
    <t>CVS</t>
  </si>
  <si>
    <t>LYB</t>
  </si>
  <si>
    <t>SHEL</t>
  </si>
  <si>
    <t>CVX</t>
  </si>
  <si>
    <t>AGG</t>
  </si>
  <si>
    <t>SPY</t>
  </si>
  <si>
    <t>QQQ</t>
  </si>
  <si>
    <t>DIA</t>
  </si>
  <si>
    <t>XLP</t>
  </si>
  <si>
    <t>XLE</t>
  </si>
  <si>
    <t>VTWO</t>
  </si>
  <si>
    <t>SAN</t>
  </si>
  <si>
    <t>PBR</t>
  </si>
  <si>
    <t>XFOR</t>
  </si>
  <si>
    <t>AMPX</t>
  </si>
  <si>
    <t>BTSG</t>
  </si>
  <si>
    <t>CAMP</t>
  </si>
  <si>
    <t>MSTR</t>
  </si>
  <si>
    <t>MU</t>
  </si>
  <si>
    <t>GMRE</t>
  </si>
  <si>
    <t>RIO</t>
  </si>
  <si>
    <t>SOXL</t>
  </si>
  <si>
    <t>QQQY</t>
  </si>
  <si>
    <t>SPXS</t>
  </si>
  <si>
    <t>SOXS</t>
  </si>
  <si>
    <t>NVDA</t>
  </si>
  <si>
    <t>TQQQ</t>
  </si>
  <si>
    <t>VGT</t>
  </si>
  <si>
    <t>DDM</t>
  </si>
  <si>
    <t>SPXL</t>
  </si>
  <si>
    <t>AAPL</t>
  </si>
  <si>
    <t>CION</t>
  </si>
  <si>
    <t>TLT</t>
  </si>
  <si>
    <t>EFC</t>
  </si>
  <si>
    <t>FDHY</t>
  </si>
  <si>
    <t>QQQE</t>
  </si>
  <si>
    <t>MITT</t>
  </si>
  <si>
    <t>MFA</t>
  </si>
  <si>
    <t>XLY</t>
  </si>
  <si>
    <t>USAR</t>
  </si>
  <si>
    <t>PHLT</t>
  </si>
  <si>
    <t>BBVA</t>
  </si>
  <si>
    <t>DFDV</t>
  </si>
  <si>
    <t>CURI</t>
  </si>
  <si>
    <t>QNCX</t>
  </si>
  <si>
    <t>MNTN</t>
  </si>
  <si>
    <t>OVID</t>
  </si>
  <si>
    <t>ETOR</t>
  </si>
  <si>
    <t>MSB</t>
  </si>
  <si>
    <t>ETHA</t>
  </si>
  <si>
    <t>SBUX</t>
  </si>
  <si>
    <t>BBAR</t>
  </si>
  <si>
    <t>COF</t>
  </si>
  <si>
    <t>V</t>
  </si>
  <si>
    <t>CLSDQ</t>
  </si>
  <si>
    <t>IONQ</t>
  </si>
  <si>
    <t>ADIL</t>
  </si>
  <si>
    <t>VOLT</t>
  </si>
  <si>
    <t>SLM</t>
  </si>
  <si>
    <t>NCLH</t>
  </si>
  <si>
    <t>CCL</t>
  </si>
  <si>
    <t>ARKK</t>
  </si>
  <si>
    <t>ARKQ</t>
  </si>
  <si>
    <t>ARKF</t>
  </si>
  <si>
    <t>ARKW</t>
  </si>
  <si>
    <t>BHP</t>
  </si>
  <si>
    <t>RSPA</t>
  </si>
  <si>
    <t>XLF</t>
  </si>
  <si>
    <t>SNDX</t>
  </si>
  <si>
    <t>XBI</t>
  </si>
  <si>
    <t>FDX</t>
  </si>
  <si>
    <t>META</t>
  </si>
  <si>
    <t>STM</t>
  </si>
  <si>
    <t>XLV</t>
  </si>
  <si>
    <t>RWT</t>
  </si>
  <si>
    <t>CLF</t>
  </si>
  <si>
    <t>SMCI</t>
  </si>
  <si>
    <t>HNGE</t>
  </si>
  <si>
    <t>MELI</t>
  </si>
  <si>
    <t>COIN</t>
  </si>
  <si>
    <t>AXP</t>
  </si>
  <si>
    <t>SRPT</t>
  </si>
  <si>
    <t>AMBIQ</t>
  </si>
  <si>
    <t>RDDT</t>
  </si>
  <si>
    <t>MNRS</t>
  </si>
  <si>
    <t>UBER</t>
  </si>
  <si>
    <t>HIVE</t>
  </si>
  <si>
    <t>BGIN</t>
  </si>
  <si>
    <t>NNDM</t>
  </si>
  <si>
    <t>TNGX</t>
  </si>
  <si>
    <t>ORIC</t>
  </si>
  <si>
    <t>AARD</t>
  </si>
  <si>
    <t>AAAU</t>
  </si>
  <si>
    <t>CTNM</t>
  </si>
  <si>
    <t>EWJ</t>
  </si>
  <si>
    <t>FRMI</t>
  </si>
  <si>
    <t>SLV</t>
  </si>
  <si>
    <t>SNDK</t>
  </si>
  <si>
    <t>EWY</t>
  </si>
  <si>
    <t>EEM</t>
  </si>
  <si>
    <t>GOOGL</t>
  </si>
  <si>
    <t>IEUR</t>
  </si>
  <si>
    <t>-</t>
  </si>
  <si>
    <t>Trade date con formato</t>
  </si>
  <si>
    <t>Symbol/ Ticker</t>
  </si>
  <si>
    <t>TC</t>
  </si>
  <si>
    <t>Date</t>
  </si>
  <si>
    <t>Transaction Type</t>
  </si>
  <si>
    <t>Symbol</t>
  </si>
  <si>
    <t>Commission</t>
  </si>
  <si>
    <t>Net Amount</t>
  </si>
  <si>
    <t>HIMS 12JUN26 26 C</t>
  </si>
  <si>
    <t>Sell</t>
  </si>
  <si>
    <t>HIMS  260612C00026000</t>
  </si>
  <si>
    <t>Buy</t>
  </si>
  <si>
    <t>INTS</t>
  </si>
  <si>
    <t>INTC 05JUN26 105 C</t>
  </si>
  <si>
    <t>INTC  260605C00105000</t>
  </si>
  <si>
    <t>INTC 05JUN26 115 C</t>
  </si>
  <si>
    <t>INTC  260605C00115000</t>
  </si>
  <si>
    <t>SOFI 16OCT26 18 C</t>
  </si>
  <si>
    <t>SOFI  261016C00018000</t>
  </si>
  <si>
    <t>SOFI 16OCT26 17 P</t>
  </si>
  <si>
    <t>SOFI  261016P00017000</t>
  </si>
  <si>
    <t>ETOR 17APR26 35 C</t>
  </si>
  <si>
    <t>ETOR  260417C00035000</t>
  </si>
  <si>
    <t>HIMS 17APR26 24.5 C</t>
  </si>
  <si>
    <t>HIMS  260417C00024500</t>
  </si>
  <si>
    <t>HIMS 15MAY26 30 C</t>
  </si>
  <si>
    <t>HIMS  260515C00030000</t>
  </si>
  <si>
    <t>Assignment</t>
  </si>
  <si>
    <t>HIMS</t>
  </si>
  <si>
    <t>UPXI 15JAN27 2.5 C</t>
  </si>
  <si>
    <t>UPXI  270115C00002500</t>
  </si>
  <si>
    <t>UPXI 21JAN28 2.5 C</t>
  </si>
  <si>
    <t>UPXI  280121C00002500</t>
  </si>
  <si>
    <t>HIMS 10APR26 20 P</t>
  </si>
  <si>
    <t>HIMS  260410P00020000</t>
  </si>
  <si>
    <t>NVO 18SEP26 35 P</t>
  </si>
  <si>
    <t>NVO   260918P00035000</t>
  </si>
  <si>
    <t>NVO 18SEP26 40 C</t>
  </si>
  <si>
    <t>NVO   260918C00040000</t>
  </si>
  <si>
    <t>HIMS 24APR26 18 C</t>
  </si>
  <si>
    <t>HIMS  260424C00018000</t>
  </si>
  <si>
    <t>HIMS 24APR26 16 P</t>
  </si>
  <si>
    <t>HIMS  260424P00016000</t>
  </si>
  <si>
    <t>OWL 15JAN27 10 P</t>
  </si>
  <si>
    <t>OWL   270115P00010000</t>
  </si>
  <si>
    <t>OWL 15JAN27 13 C</t>
  </si>
  <si>
    <t>OWL   270115C00013000</t>
  </si>
  <si>
    <t>SNAP 18SEP26 7 C</t>
  </si>
  <si>
    <t>SNAP  260918C00007000</t>
  </si>
  <si>
    <t>SNAP 18SEP26 5 P</t>
  </si>
  <si>
    <t>SNAP  260918P00005000</t>
  </si>
  <si>
    <t>QNCX 20MAR26 5 C</t>
  </si>
  <si>
    <t>QNCX  260320C00005000</t>
  </si>
  <si>
    <t>ETOR 17APR26 25 P</t>
  </si>
  <si>
    <t>ETOR  260417P00025000</t>
  </si>
  <si>
    <t>ETOR 17APR26 45 C</t>
  </si>
  <si>
    <t>ETOR  260417C00045000</t>
  </si>
  <si>
    <t>ETOR 17APR26 30 P</t>
  </si>
  <si>
    <t>ETOR  260417P00030000</t>
  </si>
  <si>
    <t>Side</t>
  </si>
  <si>
    <t>Fill Qty</t>
  </si>
  <si>
    <t>Fill Price</t>
  </si>
  <si>
    <t>Fill Amount</t>
  </si>
  <si>
    <t>Fill Time</t>
  </si>
  <si>
    <t>Total</t>
  </si>
  <si>
    <t>Pos</t>
  </si>
  <si>
    <t>Fecha</t>
  </si>
  <si>
    <t>FATE260515C1000</t>
  </si>
  <si>
    <t>May 4, 2026 13:55:31 ET</t>
  </si>
  <si>
    <t>UAA260417C5000</t>
  </si>
  <si>
    <t>Jan 21, 2026 13:52:14 ET</t>
  </si>
  <si>
    <t>XND251215C254000</t>
  </si>
  <si>
    <t>Dec 16, 2025 01:15:19 ET</t>
  </si>
  <si>
    <t>Dec 12, 2025 14:54:41 ET</t>
  </si>
  <si>
    <t>XND251219C242/246</t>
  </si>
  <si>
    <t>XND251219C242000</t>
  </si>
  <si>
    <t>Dec 5, 2025 15:59:27 ET</t>
  </si>
  <si>
    <t>XND251219C246000</t>
  </si>
  <si>
    <t>ETOR251121P35000</t>
  </si>
  <si>
    <t>Nov 22, 2025 00:31:49 ET</t>
  </si>
  <si>
    <t>Nov 25, 2025 11:23:00 ET</t>
  </si>
  <si>
    <t>Nov 21, 2025 09:40:53 ET</t>
  </si>
  <si>
    <t>Nov 21, 2025 02:00:57 ET</t>
  </si>
  <si>
    <t>ETOR251121P40000</t>
  </si>
  <si>
    <t>Nov 20, 2025 13:13:15 ET</t>
  </si>
  <si>
    <t>Nov 6, 2025 15:55:19 ET</t>
  </si>
  <si>
    <t>VALE251121C11000</t>
  </si>
  <si>
    <t>Oct 31, 2025 15:00:43 ET</t>
  </si>
  <si>
    <t>Oct 27, 2025 13:20:15 ET</t>
  </si>
  <si>
    <t>ATYR251017C11000</t>
  </si>
  <si>
    <t>Oct 20, 2025 02:10:53 ET</t>
  </si>
  <si>
    <t>ATYR251017C6000</t>
  </si>
  <si>
    <t>PCG</t>
  </si>
  <si>
    <t>Oct 13, 2025 11:18:29 ET</t>
  </si>
  <si>
    <t>NU251010C16000</t>
  </si>
  <si>
    <t>Oct 13, 2025 02:17:22 ET</t>
  </si>
  <si>
    <t>NU251010C15500</t>
  </si>
  <si>
    <t>PCG251010C15000</t>
  </si>
  <si>
    <t>PCG251010C16000</t>
  </si>
  <si>
    <t>PCG251010P15000</t>
  </si>
  <si>
    <t>PCG251010P14000</t>
  </si>
  <si>
    <t>NU251010P14500</t>
  </si>
  <si>
    <t>Oct 10, 2025 15:45:32 ET</t>
  </si>
  <si>
    <t>NU251010P15000</t>
  </si>
  <si>
    <t>Oct 10, 2025 15:44:10 ET</t>
  </si>
  <si>
    <t>Sep 25, 2025 09:45:01 ET</t>
  </si>
  <si>
    <t>ETOR251121P35/40</t>
  </si>
  <si>
    <t>Sep 23, 2025 15:25:19 ET</t>
  </si>
  <si>
    <t>Sep 22, 2025 15:16:07 ET</t>
  </si>
  <si>
    <t>INTC250919P30/31/32</t>
  </si>
  <si>
    <t>INTC250919P30000</t>
  </si>
  <si>
    <t>Sep 19, 2025 13:06:23 ET</t>
  </si>
  <si>
    <t>INTC250919P31000</t>
  </si>
  <si>
    <t>INTC250919P32000</t>
  </si>
  <si>
    <t>ATYR251017P1000</t>
  </si>
  <si>
    <t>Sep 26, 2025 12:24:31 ET</t>
  </si>
  <si>
    <t>Sep 18, 2025 13:54:56 ET</t>
  </si>
  <si>
    <t>ATYR</t>
  </si>
  <si>
    <t>Sep 16, 2025 01:49:52 ET</t>
  </si>
  <si>
    <t>ATYR251017P6000</t>
  </si>
  <si>
    <t>SNAP251017C7000</t>
  </si>
  <si>
    <t>Sep 16, 2025 09:43:18 ET</t>
  </si>
  <si>
    <t>COMM250912C155/160/165</t>
  </si>
  <si>
    <t>COMM250912C15500</t>
  </si>
  <si>
    <t>Sep 12, 2025 11:08:47 ET</t>
  </si>
  <si>
    <t>COMM250912C16000</t>
  </si>
  <si>
    <t>COMM250912C16500</t>
  </si>
  <si>
    <t>NU251010P145/150/C155/160</t>
  </si>
  <si>
    <t>Sep 8, 2025 15:47:43 ET</t>
  </si>
  <si>
    <t>NIO250905P55/60/C65/70</t>
  </si>
  <si>
    <t>NIO250905P5500</t>
  </si>
  <si>
    <t>Sep 5, 2025 13:49:06 ET</t>
  </si>
  <si>
    <t>NIO250905P6000</t>
  </si>
  <si>
    <t>NIO250905C6500</t>
  </si>
  <si>
    <t>NIO250905C7000</t>
  </si>
  <si>
    <t>ATYR251017P01/06/C06/11</t>
  </si>
  <si>
    <t>Sep 4, 2025 15:55:17 ET</t>
  </si>
  <si>
    <t>MRVL250905P59/61</t>
  </si>
  <si>
    <t>MRVL250905P59000</t>
  </si>
  <si>
    <t>Sep 3, 2025 11:58:23 ET</t>
  </si>
  <si>
    <t>MRVL250905P61000</t>
  </si>
  <si>
    <t>Sep 2, 2025 14:54:06 ET</t>
  </si>
  <si>
    <t>PCG251010P14/15/C15/16</t>
  </si>
  <si>
    <t>Sep 2, 2025 15:22:42 ET</t>
  </si>
  <si>
    <t>Aug 29, 2025 13:07:38 ET</t>
  </si>
  <si>
    <t>Aug 26, 2025 13:35:24 ET</t>
  </si>
  <si>
    <t>Aug 22, 2025 13:54:15 ET</t>
  </si>
  <si>
    <t>Date/Time</t>
  </si>
  <si>
    <t>Proceeds</t>
  </si>
  <si>
    <t>Comm/Fee</t>
  </si>
  <si>
    <t>Qty to date</t>
  </si>
  <si>
    <t>2026-04-10, 16:20:00</t>
  </si>
  <si>
    <t>2026-04-28, 10:01:41</t>
  </si>
  <si>
    <t>2026-05-08, 05:05:08</t>
  </si>
  <si>
    <t>2026-01-13, 11:41:45</t>
  </si>
  <si>
    <t>2026-04-17, 11:13:46</t>
  </si>
  <si>
    <t>2026-04-17, 16:20:00</t>
  </si>
  <si>
    <t>2026-03-12, 15:46:42</t>
  </si>
  <si>
    <t>2026-04-13, 13:48:43</t>
  </si>
  <si>
    <t>2026-04-16, 15:59:32</t>
  </si>
  <si>
    <t>2026-03-05, 15:56:57</t>
  </si>
  <si>
    <t>2026-03-10, 15:23:24</t>
  </si>
  <si>
    <t>2026-05-15, 16:20:00</t>
  </si>
  <si>
    <t>2026-05-19, 12:49:14</t>
  </si>
  <si>
    <t>2026-05-07, 13:32:47</t>
  </si>
  <si>
    <t>2026-03-11, 13:18:34</t>
  </si>
  <si>
    <t>2026-03-06, 15:10:44</t>
  </si>
  <si>
    <t>2026-01-16, 15:42:13</t>
  </si>
  <si>
    <t>2026-03-20, 16:20:00</t>
  </si>
  <si>
    <t>2026-02-11, 15:04:22</t>
  </si>
  <si>
    <t>2026-05-04, 11:35:20</t>
  </si>
  <si>
    <t>2026-02-20, 14:21:19</t>
  </si>
  <si>
    <t>2026-03-27, 13:50:30</t>
  </si>
  <si>
    <t>GBM-DW</t>
  </si>
  <si>
    <t>Moomoo</t>
  </si>
  <si>
    <t>Expiration Date</t>
  </si>
  <si>
    <t>IBKR Transactions</t>
  </si>
  <si>
    <t>IBKR Statement</t>
  </si>
  <si>
    <t>Generales</t>
  </si>
  <si>
    <t>3. Las columnas en violeta son las columnas con cálculo. Las demás vienen de los datos de la plataforma y son las únicas que se necesitan</t>
  </si>
  <si>
    <t>4. Se necesita bajar la serie SF43718 (dólar FIX) del período necesario para determinación del TC. La encuentran dando click aquí</t>
  </si>
  <si>
    <t>Valor fiscal MXN</t>
  </si>
  <si>
    <t>1. Ir a la sección de performance &amp; reports y en transaction history bajar como .csv en las fechas seleccionadas</t>
  </si>
  <si>
    <t>1. Ir a history en la sección de accounts, seleccionar fechas y exportar como .csv</t>
  </si>
  <si>
    <t>IBKR Activity Statement</t>
  </si>
  <si>
    <t>1. Ir a la sección de performance &amp; reports y en activity statement bajar como .csv en las fechas seleccionadas</t>
  </si>
  <si>
    <t>import os</t>
  </si>
  <si>
    <t>import re</t>
  </si>
  <si>
    <t>import sys</t>
  </si>
  <si>
    <t>import subprocess</t>
  </si>
  <si>
    <t># --- AUTO-INSTALACIÓN DE LIBRERÍAS ---</t>
  </si>
  <si>
    <t>try:</t>
  </si>
  <si>
    <t xml:space="preserve">    import pdfplumber</t>
  </si>
  <si>
    <t xml:space="preserve">    import pandas as pd</t>
  </si>
  <si>
    <t>except ImportError:</t>
  </si>
  <si>
    <t xml:space="preserve">    print("Instalando librerías faltantes (pdfplumber, pandas, openpyxl)...")</t>
  </si>
  <si>
    <t xml:space="preserve">    subprocess.check_call([sys.executable, "-m", "pip", "install", "pdfplumber", "pandas", "openpyxl"])</t>
  </si>
  <si>
    <t>def extraer_seccion_activity(ruta_pdf):</t>
  </si>
  <si>
    <t xml:space="preserve">    movimientos_pdf = []</t>
  </si>
  <si>
    <t xml:space="preserve">    dentro_de_actividad = False</t>
  </si>
  <si>
    <t xml:space="preserve">    </t>
  </si>
  <si>
    <t xml:space="preserve">    # Expresión regular para detectar fechas (ej. May 4, 2026 o 05/04/2026)</t>
  </si>
  <si>
    <t xml:space="preserve">    patron_fecha = re.compile(r'^([A-Za-z]{3}\s+\d{1,2},\s+\d{4}|\d{2}/\d{2}/\d{4})')</t>
  </si>
  <si>
    <t xml:space="preserve">    with pdfplumber.open(ruta_pdf) as pdf:</t>
  </si>
  <si>
    <t xml:space="preserve">        for pagina in pdf.pages:</t>
  </si>
  <si>
    <t xml:space="preserve">            texto = pagina.extract_text()</t>
  </si>
  <si>
    <t xml:space="preserve">            if not texto:</t>
  </si>
  <si>
    <t xml:space="preserve">                continue</t>
  </si>
  <si>
    <t xml:space="preserve">                </t>
  </si>
  <si>
    <t xml:space="preserve">            lineas = texto.split('\n')</t>
  </si>
  <si>
    <t xml:space="preserve">            for linea in lineas:</t>
  </si>
  <si>
    <t xml:space="preserve">                linea_limpia = linea.strip()</t>
  </si>
  <si>
    <t xml:space="preserve">                # 1. ACTIVADOR DE PARADA (PRIMERO): Si la línea menciona "sweep", se apaga de inmediato.</t>
  </si>
  <si>
    <t xml:space="preserve">                # Al ponerlo primero, evitamos que entre al activador de inicio de abajo.</t>
  </si>
  <si>
    <t xml:space="preserve">                if "sweep" in linea_limpia.lower():</t>
  </si>
  <si>
    <t xml:space="preserve">                    dentro_de_actividad = False</t>
  </si>
  <si>
    <t xml:space="preserve">                    continue </t>
  </si>
  <si>
    <t xml:space="preserve">                # 2. ACTIVADOR DE INICIO (SEGUNDO): Detectar la sección "Activity" pura</t>
  </si>
  <si>
    <t xml:space="preserve">                if "activity" in linea_limpia.lower():</t>
  </si>
  <si>
    <t xml:space="preserve">                    dentro_de_actividad = True</t>
  </si>
  <si>
    <t xml:space="preserve">                    continue</t>
  </si>
  <si>
    <t xml:space="preserve">                # 3. Extraer datos si estamos en el bloque correcto</t>
  </si>
  <si>
    <t xml:space="preserve">                if dentro_de_actividad and patron_fecha.match(linea_limpia):</t>
  </si>
  <si>
    <t xml:space="preserve">                    # Separamos la línea usando espacios múltiples para aislar las columnas principales</t>
  </si>
  <si>
    <t xml:space="preserve">                    columnas = re.split(r'\s{2,}', linea_limpia)</t>
  </si>
  <si>
    <t xml:space="preserve">                    </t>
  </si>
  <si>
    <t xml:space="preserve">                    # Si la separación por espacios múltiples falla, intentamos por espacios simples</t>
  </si>
  <si>
    <t xml:space="preserve">                    if len(columnas) &lt; 6:</t>
  </si>
  <si>
    <t xml:space="preserve">                        columnas = linea_limpia.split(' ')</t>
  </si>
  <si>
    <t xml:space="preserve">                    # --- OPERACIÓN MATEMÁTICA FIJA SOBRE LAS COLUMNAS ---</t>
  </si>
  <si>
    <t xml:space="preserve">                    if len(columnas) &gt;= 5:</t>
  </si>
  <si>
    <t xml:space="preserve">                        # 1. Tomamos las primeras 4 columnas intactas: Trade date, Settlement date, Currency, Activity type</t>
  </si>
  <si>
    <t xml:space="preserve">                        bloque_inicial = columnas[:4]</t>
  </si>
  <si>
    <t xml:space="preserve">                        </t>
  </si>
  <si>
    <t xml:space="preserve">                        # FILTRO DE SEGURIDAD: Validar que la tercera columna sea una divisa válida (ej. USD)</t>
  </si>
  <si>
    <t xml:space="preserve">                        if len(bloque_inicial) &gt;= 3 and not re.match(r'^[A-Z]{3}$', bloque_inicial[2].strip()):</t>
  </si>
  <si>
    <t xml:space="preserve">                            continue</t>
  </si>
  <si>
    <t xml:space="preserve">                            </t>
  </si>
  <si>
    <t xml:space="preserve">                        # 2. Vamos a la quinta columna (índice 4), que es "Symbol / Description"</t>
  </si>
  <si>
    <t xml:space="preserve">                        columna_simbolo = columnas[4].strip()</t>
  </si>
  <si>
    <t xml:space="preserve">                        # 3. Extraer texto ANTES del primer espacio (Ticker limpio sin importar longitud)</t>
  </si>
  <si>
    <t xml:space="preserve">                        ticker_puro = columna_simbolo.split(' ')[0].strip()</t>
  </si>
  <si>
    <t xml:space="preserve">                        # 4. Rescatamos las últimas 3 columnas numéricas del PDF: Quantity, Price, Amount</t>
  </si>
  <si>
    <t xml:space="preserve">                        bloque_final = columnas[-3:]</t>
  </si>
  <si>
    <t xml:space="preserve">                        # 5. Unimos todo saltándonos cualquier texto descriptivo intermedio excedente</t>
  </si>
  <si>
    <t xml:space="preserve">                        fila_perfecta = bloque_inicial + [ticker_puro] + bloque_final</t>
  </si>
  <si>
    <t xml:space="preserve">                        # Guardamos únicamente si la fila consolidada tiene exactamente 8 columnas</t>
  </si>
  <si>
    <t xml:space="preserve">                        if len(fila_perfecta) == 8:</t>
  </si>
  <si>
    <t xml:space="preserve">                            movimientos_pdf.append(fila_perfecta)</t>
  </si>
  <si>
    <t xml:space="preserve">                                            </t>
  </si>
  <si>
    <t xml:space="preserve">    return movimientos_pdf</t>
  </si>
  <si>
    <t xml:space="preserve">    datos_consolidados = []</t>
  </si>
  <si>
    <t xml:space="preserve">    if not os.path.exists(ruta_carpeta):</t>
  </si>
  <si>
    <t xml:space="preserve">        print(f"Error: La ruta '{ruta_carpeta}' no existe.")</t>
  </si>
  <si>
    <t xml:space="preserve">        return</t>
  </si>
  <si>
    <t xml:space="preserve">        </t>
  </si>
  <si>
    <t xml:space="preserve">    print(f"Buscando PDFs en la carpeta raíz y todas sus subcarpetas...")</t>
  </si>
  <si>
    <t xml:space="preserve">    for ruta_actual, subcarpetas, archivos in os.walk(ruta_carpeta):</t>
  </si>
  <si>
    <t xml:space="preserve">        for archivo in archivos:</t>
  </si>
  <si>
    <t xml:space="preserve">            if archivo.lower().endswith('.pdf'):</t>
  </si>
  <si>
    <t xml:space="preserve">                ruta_completa = os.path.join(ruta_actual, archivo)</t>
  </si>
  <si>
    <t xml:space="preserve">                try:</t>
  </si>
  <si>
    <t xml:space="preserve">                    filas_pdf = extraer_seccion_activity(ruta_completa)</t>
  </si>
  <si>
    <t xml:space="preserve">                    if filas_pdf:</t>
  </si>
  <si>
    <t xml:space="preserve">                        datos_consolidados.extend(filas_pdf)</t>
  </si>
  <si>
    <t xml:space="preserve">                        carpeta_relativa = os.path.relpath(ruta_actual, ruta_carpeta)</t>
  </si>
  <si>
    <t xml:space="preserve">                        print(f"✔ Analizado: [{carpeta_relativa}] -&gt; {archivo} ({len(filas_pdf)} filas)")</t>
  </si>
  <si>
    <t xml:space="preserve">                    else:</t>
  </si>
  <si>
    <t xml:space="preserve">                        print(f"⚠ Sin movimientos de Trading en: {archivo}")</t>
  </si>
  <si>
    <t xml:space="preserve">                except Exception as e:</t>
  </si>
  <si>
    <t xml:space="preserve">                    print(f"❌ Error en {archivo}: {e}")</t>
  </si>
  <si>
    <t xml:space="preserve">    if datos_consolidados:</t>
  </si>
  <si>
    <t xml:space="preserve">        df_final = pd.DataFrame(datos_consolidados)</t>
  </si>
  <si>
    <t xml:space="preserve">        # Asignamos los nombres exactos y en el orden estricto</t>
  </si>
  <si>
    <t xml:space="preserve">        df_final.columns = [</t>
  </si>
  <si>
    <t xml:space="preserve">            "Trade date", </t>
  </si>
  <si>
    <t xml:space="preserve">            "Settlement date", </t>
  </si>
  <si>
    <t xml:space="preserve">            "Currency", </t>
  </si>
  <si>
    <t xml:space="preserve">            "Activity type", </t>
  </si>
  <si>
    <t xml:space="preserve">            "Symbol/Ticker", </t>
  </si>
  <si>
    <t xml:space="preserve">            "Quantity", </t>
  </si>
  <si>
    <t xml:space="preserve">            "Price", </t>
  </si>
  <si>
    <t xml:space="preserve">            "Amount"</t>
  </si>
  <si>
    <t xml:space="preserve">        ]</t>
  </si>
  <si>
    <t xml:space="preserve">        # Guardar en Excel</t>
  </si>
  <si>
    <t xml:space="preserve">        df_final.to_excel(archivo_excel_salida, index=False)</t>
  </si>
  <si>
    <t xml:space="preserve">        print(f"\n¡Proceso terminado con éxito!")</t>
  </si>
  <si>
    <t xml:space="preserve">        print(f"Archivo Excel generado en: {os.path.abspath(archivo_excel_salida)}")</t>
  </si>
  <si>
    <t xml:space="preserve">        print(f"Total de registros consolidados: {len(df_final)}")</t>
  </si>
  <si>
    <t xml:space="preserve">    else:</t>
  </si>
  <si>
    <t xml:space="preserve">        print("\nNo se encontraron registros válidos que coincidan con la estructura de 8 columnas.")</t>
  </si>
  <si>
    <t># =====================================================================</t>
  </si>
  <si>
    <t># Ejecución del programa</t>
  </si>
  <si>
    <t>procesar_estados_cuenta(ruta_mis_pdfs)</t>
  </si>
  <si>
    <t>def procesar_estados_cuenta(ruta_carpeta, archivo_excel_salida="movimientos_gbm_usa.xlsx"):</t>
  </si>
  <si>
    <t xml:space="preserve">ruta_mis_pdfs = r"C:\" </t>
  </si>
  <si>
    <t># CONFIGURACIÓN DE TU RUTA (DONDE TIENES LOS ESTADOS DE CUENTA COMO PDF'S)</t>
  </si>
  <si>
    <t>CÓDIGO PYTHON PARA DESCARGA MASIVA DE MOVIMIENTOS DE ESTADOS DE CUENTA PDF DE DRIVEWEALTH (SÓLO AGREGAR RUTA)</t>
  </si>
  <si>
    <t># Aquí definen el nombre del archivo  a guardar (y ruta también, si quieren, si no, está la de por default que tengan)</t>
  </si>
  <si>
    <t>1. Bajar estados de cuenta de GBM/Drivewealth y convertirlos a .csv/.xlsx (manualmente, smallpdf o masivamente con el código Python de la siguiente pestaña)</t>
  </si>
  <si>
    <t>Utilidad por año (cada nuevo año, arrastrar )</t>
  </si>
  <si>
    <t>Fecha corte de cálculo</t>
  </si>
  <si>
    <t>¿Qué?</t>
  </si>
  <si>
    <t>¿En qué apartado se declara?</t>
  </si>
  <si>
    <t>Acciones listadas en el SIC</t>
  </si>
  <si>
    <t>Enajenación acciones en bolsa</t>
  </si>
  <si>
    <t>Acciones no listadas en el SIC</t>
  </si>
  <si>
    <t>Enajenación de bienes (se separa ganancia acumulable y no acumulable)</t>
  </si>
  <si>
    <t>Derivados</t>
  </si>
  <si>
    <t>GUÍA PARA DECLARACIÓN ANUAL</t>
  </si>
  <si>
    <t>Utilidad simple MXN</t>
  </si>
  <si>
    <t>INPC Compra (mes)</t>
  </si>
  <si>
    <t>INPC Venta (mes -1)</t>
  </si>
  <si>
    <t>Utilidad fiscal ajustada por inflación</t>
  </si>
  <si>
    <t>Años de tenencia (para ganancia acumulable)</t>
  </si>
  <si>
    <t>Último CPP/ PPV MXN</t>
  </si>
  <si>
    <t>CPP inflacionado / PPV</t>
  </si>
  <si>
    <t>Call/Put/ Opción originadora</t>
  </si>
  <si>
    <t>Strike</t>
  </si>
  <si>
    <t>Order Source</t>
  </si>
  <si>
    <t>Option Expired</t>
  </si>
  <si>
    <t>System Liquidation</t>
  </si>
  <si>
    <t>Option Assigned</t>
  </si>
  <si>
    <t>Realized P/L</t>
  </si>
  <si>
    <t>Gananacia acumulable = Utilidad / Años de tenencia</t>
  </si>
  <si>
    <t>Ganancia no acumulable = Utilidad - Ganancia acumulable</t>
  </si>
  <si>
    <t>2. Necesitan tener una versión de Excel que soporte fórmulas como buscarx, filtrar, let, etc…(365, web, 2021 o posteriores)</t>
  </si>
  <si>
    <t>5. Ya con la serie bajada, se calcula la columna TC de las fechas deseadas con un simple =BUSCARX(FECHA,COLUMNA FECHAS TC, COLUMNA TC, ,0,-1) (se recomienda después cortar/pegar como valores)</t>
  </si>
  <si>
    <r>
      <t>7. Los cálculos son con los datos acomodados de más recientes a más antiguos (</t>
    </r>
    <r>
      <rPr>
        <b/>
        <sz val="10"/>
        <color theme="1"/>
        <rFont val="Malgun Gothic"/>
        <family val="2"/>
      </rPr>
      <t>excepto IBKR Activity Statement</t>
    </r>
    <r>
      <rPr>
        <sz val="10"/>
        <color theme="1"/>
        <rFont val="Malgun Gothic"/>
        <family val="2"/>
      </rPr>
      <t>). Si se cambian, habría que cambiar el modo de búsqueda de BUSCARX y referencias fijas (NO RECOMENDADO). También, siempre dejar al menos una fila adicional en las fórmulas en que los rangos excedan las filas de los datos)</t>
    </r>
  </si>
  <si>
    <t xml:space="preserve">8. Se agregan datos, se ordenan y se arrastran fórmulas para actualizar (fiscalmente, sólo es necesario calcular por año calendario). </t>
  </si>
  <si>
    <t xml:space="preserve">10. Se tienen que mantener los datos históricos de todas las acciones/opciones que sigan abiertas, independientemente de su año. </t>
  </si>
  <si>
    <t>1. Este template sólo es para cálculo de utilidad simple (columnas ocultas) y fiscal por enajenación de acciones/opciones. Poner fecha de corte en resumen (31 de diciembre de algún año)</t>
  </si>
  <si>
    <t xml:space="preserve">9. Si hay split/reverse split se tienen que ajustar los datos anteriores al evento manualmente (precio/títulos, porque el bróker sólo da datos históricos, no ajustados) </t>
  </si>
  <si>
    <t>Demás ingresos- Ganancias o pérdidas por derivados financieros</t>
  </si>
  <si>
    <t>Utilidad fiscal por bróker</t>
  </si>
  <si>
    <t>Utilidad fiscal por tipo</t>
  </si>
  <si>
    <t>Ganancia acumulable</t>
  </si>
  <si>
    <t>Ganancia no acumulable</t>
  </si>
  <si>
    <t>6. También se necesita bajar aquí la serie de los niveles de INPC para la utilidad fiscal (en xls o cvs e índices para el período de los datos). Aplicar la misma fórmula y lógica que lo hecho para el TC</t>
  </si>
  <si>
    <t>2. Quitar columnas no necesarias, cortar y pegar en el template en la parte de datos (columnas sin color)</t>
  </si>
  <si>
    <t>2. Quitar columnas e información no necesarias (sólo se necesitan las de compra/venta), cortar y pegar en el template en la parte de datos (columnas sin color).</t>
  </si>
  <si>
    <t>2. Quitar columnas y datos no necesarios (HAY QUE QUITAR LAS CANCELADAS PORQUE NO HAY MANERA DE FILTRARLAS AL EXPORTAR), cortar y pegar en el template en la parte de datos</t>
  </si>
  <si>
    <t>2. Ir a la parte de Transactions, quitar columnas y datos no necesarios, cortar y pegar en el template en la parte de datos. Viene ordenado por instrumento no por fechas, va a dar el mismo resultado que por transaction history pero sólo calcula utilidad simple por cómo están estructurados los datos (no fiscal pero sirve para verificar con el otro)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</si>
</sst>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00"/>
    <numFmt numFmtId="165" formatCode="[$-409]d\-mmm\-yy;@"/>
    <numFmt numFmtId="166" formatCode="_(&quot;$&quot;* #,##0.00_);[Red]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Malgun Gothic"/>
      <family val="2"/>
    </font>
    <font>
      <sz val="11"/>
      <color theme="1"/>
      <name val="Malgun Gothic"/>
      <family val="2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sz val="10"/>
      <color theme="0" tint="-4.9989318521683403E-2"/>
      <name val="Malgun Gothic"/>
      <family val="2"/>
    </font>
    <font>
      <sz val="10"/>
      <color theme="0" tint="-4.9989318521683403E-2"/>
      <name val="Malgun Gothic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Malgun Gothic"/>
      <family val="2"/>
    </font>
    <font>
      <b/>
      <sz val="11"/>
      <color theme="0"/>
      <name val="Malgun Gothic"/>
      <family val="2"/>
    </font>
    <font>
      <sz val="10"/>
      <color theme="0"/>
      <name val="Malgun Gothic"/>
      <family val="2"/>
    </font>
    <font>
      <b/>
      <sz val="10"/>
      <color rgb="FF002060"/>
      <name val="Malgun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784FC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818690"/>
      </left>
      <right style="thin">
        <color rgb="FF818690"/>
      </right>
      <top style="thin">
        <color rgb="FF818690"/>
      </top>
      <bottom style="thin">
        <color rgb="FF81869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75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14" fontId="8" fillId="2" borderId="0" xfId="0" applyNumberFormat="1" applyFont="1" applyFill="1" applyAlignment="1">
      <alignment wrapText="1"/>
    </xf>
    <xf numFmtId="0" fontId="8" fillId="2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8" fillId="2" borderId="0" xfId="0" applyNumberFormat="1" applyFont="1" applyFill="1"/>
    <xf numFmtId="44" fontId="8" fillId="2" borderId="0" xfId="1" applyFont="1" applyFill="1"/>
    <xf numFmtId="8" fontId="8" fillId="2" borderId="0" xfId="0" applyNumberFormat="1" applyFont="1" applyFill="1"/>
    <xf numFmtId="8" fontId="6" fillId="0" borderId="0" xfId="0" applyNumberFormat="1" applyFont="1"/>
    <xf numFmtId="14" fontId="6" fillId="0" borderId="0" xfId="0" applyNumberFormat="1" applyFont="1"/>
    <xf numFmtId="0" fontId="5" fillId="0" borderId="0" xfId="0" applyFont="1" applyAlignment="1">
      <alignment vertical="center"/>
    </xf>
    <xf numFmtId="14" fontId="8" fillId="2" borderId="0" xfId="0" applyNumberFormat="1" applyFont="1" applyFill="1"/>
    <xf numFmtId="4" fontId="6" fillId="0" borderId="0" xfId="0" applyNumberFormat="1" applyFont="1"/>
    <xf numFmtId="0" fontId="5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4" fontId="7" fillId="2" borderId="2" xfId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3" fillId="0" borderId="0" xfId="0" applyFont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10" fillId="0" borderId="9" xfId="2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8" fillId="6" borderId="0" xfId="0" applyFont="1" applyFill="1"/>
    <xf numFmtId="0" fontId="8" fillId="3" borderId="0" xfId="0" applyFont="1" applyFill="1"/>
    <xf numFmtId="0" fontId="8" fillId="4" borderId="0" xfId="0" applyFont="1" applyFill="1"/>
    <xf numFmtId="0" fontId="6" fillId="5" borderId="0" xfId="0" applyFont="1" applyFill="1"/>
    <xf numFmtId="0" fontId="5" fillId="5" borderId="0" xfId="0" applyFont="1" applyFill="1"/>
    <xf numFmtId="0" fontId="7" fillId="4" borderId="0" xfId="0" applyFont="1" applyFill="1"/>
    <xf numFmtId="0" fontId="7" fillId="3" borderId="0" xfId="0" applyFont="1" applyFill="1"/>
    <xf numFmtId="0" fontId="7" fillId="6" borderId="0" xfId="0" applyFont="1" applyFill="1"/>
    <xf numFmtId="49" fontId="6" fillId="0" borderId="0" xfId="0" applyNumberFormat="1" applyFont="1"/>
    <xf numFmtId="49" fontId="5" fillId="0" borderId="0" xfId="0" applyNumberFormat="1" applyFont="1"/>
    <xf numFmtId="0" fontId="5" fillId="0" borderId="0" xfId="0" applyFont="1" applyAlignment="1">
      <alignment horizontal="left"/>
    </xf>
    <xf numFmtId="44" fontId="6" fillId="0" borderId="0" xfId="1" applyFont="1" applyBorder="1"/>
    <xf numFmtId="0" fontId="5" fillId="7" borderId="0" xfId="0" applyFont="1" applyFill="1"/>
    <xf numFmtId="165" fontId="4" fillId="0" borderId="0" xfId="0" applyNumberFormat="1" applyFont="1"/>
    <xf numFmtId="0" fontId="4" fillId="0" borderId="1" xfId="0" applyFont="1" applyBorder="1"/>
    <xf numFmtId="0" fontId="4" fillId="0" borderId="15" xfId="0" applyFont="1" applyBorder="1"/>
    <xf numFmtId="0" fontId="11" fillId="8" borderId="14" xfId="0" applyFont="1" applyFill="1" applyBorder="1"/>
    <xf numFmtId="0" fontId="6" fillId="2" borderId="0" xfId="0" applyFont="1" applyFill="1"/>
    <xf numFmtId="0" fontId="12" fillId="2" borderId="0" xfId="0" applyFont="1" applyFill="1"/>
    <xf numFmtId="8" fontId="12" fillId="2" borderId="0" xfId="0" applyNumberFormat="1" applyFont="1" applyFill="1"/>
    <xf numFmtId="44" fontId="12" fillId="2" borderId="0" xfId="0" applyNumberFormat="1" applyFont="1" applyFill="1"/>
    <xf numFmtId="44" fontId="12" fillId="2" borderId="0" xfId="1" applyFont="1" applyFill="1"/>
    <xf numFmtId="14" fontId="8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wrapText="1"/>
    </xf>
    <xf numFmtId="0" fontId="9" fillId="0" borderId="9" xfId="2" applyBorder="1"/>
    <xf numFmtId="166" fontId="12" fillId="2" borderId="0" xfId="1" applyNumberFormat="1" applyFont="1" applyFill="1"/>
    <xf numFmtId="44" fontId="7" fillId="2" borderId="2" xfId="0" applyNumberFormat="1" applyFont="1" applyFill="1" applyBorder="1" applyAlignment="1">
      <alignment horizontal="center" vertical="center" wrapText="1"/>
    </xf>
    <xf numFmtId="44" fontId="6" fillId="0" borderId="0" xfId="0" applyNumberFormat="1" applyFont="1"/>
    <xf numFmtId="166" fontId="6" fillId="0" borderId="1" xfId="1" applyNumberFormat="1" applyFont="1" applyBorder="1"/>
    <xf numFmtId="0" fontId="7" fillId="8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/>
    </xf>
    <xf numFmtId="44" fontId="6" fillId="0" borderId="1" xfId="1" applyFont="1" applyBorder="1"/>
    <xf numFmtId="0" fontId="6" fillId="0" borderId="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8" fillId="6" borderId="0" xfId="0" applyFont="1" applyFill="1" applyAlignment="1">
      <alignment horizontal="left" wrapText="1"/>
    </xf>
  </cellXfs>
  <cellStyles count="3">
    <cellStyle name="Hipervínculo" xfId="2" builtinId="8"/>
    <cellStyle name="Moneda" xfId="1" builtinId="4"/>
    <cellStyle name="Normal" xfId="0" builtinId="0"/>
  </cellStyles>
  <dxfs count="4">
    <dxf>
      <font>
        <color theme="5" tint="0.39994506668294322"/>
      </font>
    </dxf>
    <dxf>
      <font>
        <color theme="5" tint="0.39994506668294322"/>
      </font>
    </dxf>
    <dxf>
      <font>
        <color theme="5" tint="0.39994506668294322"/>
      </font>
    </dxf>
    <dxf>
      <font>
        <color theme="5" tint="0.39994506668294322"/>
      </font>
    </dxf>
  </dxfs>
  <tableStyles count="0" defaultTableStyle="TableStyleMedium9" defaultPivotStyle="PivotStyleLight16"/>
  <colors>
    <mruColors>
      <color rgb="FF784FC9"/>
      <color rgb="FF8186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negi.org.mx/app/indicesdeprecios/Estructura.aspx?idEstructura=112001700010&amp;T=%C3%8Dn" TargetMode="External"/><Relationship Id="rId1" Type="http://schemas.openxmlformats.org/officeDocument/2006/relationships/hyperlink" Target="https://www.banxico.org.mx/SieInternet/consultarDirectorioInternetAction.do?accion=consultarCuadro&amp;idCuadro=CF102&amp;sector=6&amp;locale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94FF9-B9D5-4583-9AAB-204985BA97B5}">
  <sheetPr>
    <tabColor rgb="FF784FC9"/>
  </sheetPr>
  <dimension ref="A2:N30"/>
  <sheetViews>
    <sheetView showGridLines="0" showRowColHeaders="0" tabSelected="1" topLeftCell="B7" zoomScale="90" zoomScaleNormal="90" workbookViewId="0">
      <selection activeCell="N20" sqref="N20"/>
    </sheetView>
  </sheetViews>
  <sheetFormatPr baseColWidth="10" defaultRowHeight="16" x14ac:dyDescent="0.45"/>
  <cols>
    <col min="1" max="13" width="10.90625" style="3"/>
    <col min="14" max="14" width="30.54296875" style="3" customWidth="1"/>
    <col min="15" max="16384" width="10.90625" style="3"/>
  </cols>
  <sheetData>
    <row r="2" spans="1:14" ht="17.5" thickBot="1" x14ac:dyDescent="0.5">
      <c r="A2" s="28" t="s">
        <v>391</v>
      </c>
    </row>
    <row r="3" spans="1:14" x14ac:dyDescent="0.45">
      <c r="A3" s="29" t="s">
        <v>544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</row>
    <row r="4" spans="1:14" x14ac:dyDescent="0.45">
      <c r="A4" s="32" t="s">
        <v>539</v>
      </c>
      <c r="N4" s="33"/>
    </row>
    <row r="5" spans="1:14" x14ac:dyDescent="0.45">
      <c r="A5" s="32" t="s">
        <v>392</v>
      </c>
      <c r="N5" s="33"/>
    </row>
    <row r="6" spans="1:14" x14ac:dyDescent="0.45">
      <c r="A6" s="34" t="s">
        <v>393</v>
      </c>
      <c r="N6" s="33"/>
    </row>
    <row r="7" spans="1:14" x14ac:dyDescent="0.45">
      <c r="A7" s="32" t="s">
        <v>540</v>
      </c>
      <c r="N7" s="33"/>
    </row>
    <row r="8" spans="1:14" x14ac:dyDescent="0.45">
      <c r="A8" s="62" t="s">
        <v>551</v>
      </c>
      <c r="N8" s="33"/>
    </row>
    <row r="9" spans="1:14" x14ac:dyDescent="0.45">
      <c r="A9" s="71" t="s">
        <v>541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3"/>
    </row>
    <row r="10" spans="1:14" x14ac:dyDescent="0.45">
      <c r="A10" s="71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3"/>
    </row>
    <row r="11" spans="1:14" x14ac:dyDescent="0.45">
      <c r="A11" s="32" t="s">
        <v>542</v>
      </c>
      <c r="N11" s="33"/>
    </row>
    <row r="12" spans="1:14" x14ac:dyDescent="0.45">
      <c r="A12" s="32" t="s">
        <v>545</v>
      </c>
      <c r="N12" s="33"/>
    </row>
    <row r="13" spans="1:14" ht="16.5" thickBot="1" x14ac:dyDescent="0.5">
      <c r="A13" s="35" t="s">
        <v>543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</row>
    <row r="15" spans="1:14" x14ac:dyDescent="0.45">
      <c r="A15" s="44" t="s">
        <v>386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x14ac:dyDescent="0.45">
      <c r="A16" s="39" t="s">
        <v>512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</row>
    <row r="17" spans="1:14" x14ac:dyDescent="0.45">
      <c r="A17" s="39" t="s">
        <v>552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</row>
    <row r="19" spans="1:14" x14ac:dyDescent="0.45">
      <c r="A19" s="43" t="s">
        <v>389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</row>
    <row r="20" spans="1:14" x14ac:dyDescent="0.45">
      <c r="A20" s="40" t="s">
        <v>395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</row>
    <row r="21" spans="1:14" x14ac:dyDescent="0.45">
      <c r="A21" s="40" t="s">
        <v>553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</row>
    <row r="23" spans="1:14" x14ac:dyDescent="0.45">
      <c r="A23" s="42" t="s">
        <v>387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x14ac:dyDescent="0.45">
      <c r="A24" s="41" t="s">
        <v>396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4" x14ac:dyDescent="0.45">
      <c r="A25" s="41" t="s">
        <v>554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7" spans="1:14" x14ac:dyDescent="0.45">
      <c r="A27" s="45" t="s">
        <v>397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4" x14ac:dyDescent="0.45">
      <c r="A28" s="38" t="s">
        <v>398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4" x14ac:dyDescent="0.45">
      <c r="A29" s="74" t="s">
        <v>555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</row>
    <row r="30" spans="1:14" x14ac:dyDescent="0.45">
      <c r="A30" s="74"/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</row>
  </sheetData>
  <mergeCells count="2">
    <mergeCell ref="A9:N10"/>
    <mergeCell ref="A29:N30"/>
  </mergeCells>
  <hyperlinks>
    <hyperlink ref="A6" r:id="rId1" tooltip="aquí" display="2. Se necesita bajar la serie SF43718 (dólar FIX) del período necesario para determinación del TC. La encuentran dando click aquí" xr:uid="{F5ADD5ED-A136-4683-901D-34E1ADFBEA7F}"/>
    <hyperlink ref="A8" r:id="rId2" display="6. También se necesita bajar aquí la serie de los niveles de INPC para la utilidad fiscal (en xls, cvs, índices para las fechas que requieran). Aplicar la misma fórmula y lógica que lo hecho para el TC" xr:uid="{55B665BE-FEFB-46B7-B081-B2F29F593D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336FA-4824-4179-9F56-D6FA1A17AB95}">
  <sheetPr>
    <tabColor rgb="FF002060"/>
  </sheetPr>
  <dimension ref="A2:A138"/>
  <sheetViews>
    <sheetView showGridLines="0" showRowColHeaders="0" workbookViewId="0">
      <selection activeCell="A2" sqref="A2"/>
    </sheetView>
  </sheetViews>
  <sheetFormatPr baseColWidth="10" defaultRowHeight="16" x14ac:dyDescent="0.45"/>
  <cols>
    <col min="1" max="16384" width="10.90625" style="3"/>
  </cols>
  <sheetData>
    <row r="2" spans="1:1" ht="17" x14ac:dyDescent="0.45">
      <c r="A2" s="28" t="s">
        <v>510</v>
      </c>
    </row>
    <row r="4" spans="1:1" x14ac:dyDescent="0.45">
      <c r="A4" s="46" t="s">
        <v>399</v>
      </c>
    </row>
    <row r="5" spans="1:1" x14ac:dyDescent="0.45">
      <c r="A5" s="46" t="s">
        <v>400</v>
      </c>
    </row>
    <row r="6" spans="1:1" x14ac:dyDescent="0.45">
      <c r="A6" s="46" t="s">
        <v>401</v>
      </c>
    </row>
    <row r="7" spans="1:1" x14ac:dyDescent="0.45">
      <c r="A7" s="46" t="s">
        <v>402</v>
      </c>
    </row>
    <row r="8" spans="1:1" x14ac:dyDescent="0.45">
      <c r="A8" s="46"/>
    </row>
    <row r="9" spans="1:1" x14ac:dyDescent="0.45">
      <c r="A9" s="46" t="s">
        <v>403</v>
      </c>
    </row>
    <row r="10" spans="1:1" x14ac:dyDescent="0.45">
      <c r="A10" s="46" t="s">
        <v>404</v>
      </c>
    </row>
    <row r="11" spans="1:1" x14ac:dyDescent="0.45">
      <c r="A11" s="46" t="s">
        <v>405</v>
      </c>
    </row>
    <row r="12" spans="1:1" x14ac:dyDescent="0.45">
      <c r="A12" s="46" t="s">
        <v>406</v>
      </c>
    </row>
    <row r="13" spans="1:1" x14ac:dyDescent="0.45">
      <c r="A13" s="46" t="s">
        <v>407</v>
      </c>
    </row>
    <row r="14" spans="1:1" x14ac:dyDescent="0.45">
      <c r="A14" s="46" t="s">
        <v>408</v>
      </c>
    </row>
    <row r="15" spans="1:1" x14ac:dyDescent="0.45">
      <c r="A15" s="46" t="s">
        <v>409</v>
      </c>
    </row>
    <row r="16" spans="1:1" x14ac:dyDescent="0.45">
      <c r="A16" s="46" t="s">
        <v>405</v>
      </c>
    </row>
    <row r="17" spans="1:1" x14ac:dyDescent="0.45">
      <c r="A17" s="46" t="s">
        <v>406</v>
      </c>
    </row>
    <row r="18" spans="1:1" x14ac:dyDescent="0.45">
      <c r="A18" s="46"/>
    </row>
    <row r="19" spans="1:1" x14ac:dyDescent="0.45">
      <c r="A19" s="46" t="s">
        <v>410</v>
      </c>
    </row>
    <row r="20" spans="1:1" x14ac:dyDescent="0.45">
      <c r="A20" s="46" t="s">
        <v>411</v>
      </c>
    </row>
    <row r="21" spans="1:1" x14ac:dyDescent="0.45">
      <c r="A21" s="46" t="s">
        <v>412</v>
      </c>
    </row>
    <row r="22" spans="1:1" x14ac:dyDescent="0.45">
      <c r="A22" s="46" t="s">
        <v>413</v>
      </c>
    </row>
    <row r="23" spans="1:1" x14ac:dyDescent="0.45">
      <c r="A23" s="46" t="s">
        <v>414</v>
      </c>
    </row>
    <row r="24" spans="1:1" x14ac:dyDescent="0.45">
      <c r="A24" s="46" t="s">
        <v>415</v>
      </c>
    </row>
    <row r="25" spans="1:1" x14ac:dyDescent="0.45">
      <c r="A25" s="46"/>
    </row>
    <row r="26" spans="1:1" x14ac:dyDescent="0.45">
      <c r="A26" s="46" t="s">
        <v>416</v>
      </c>
    </row>
    <row r="27" spans="1:1" x14ac:dyDescent="0.45">
      <c r="A27" s="46" t="s">
        <v>417</v>
      </c>
    </row>
    <row r="28" spans="1:1" x14ac:dyDescent="0.45">
      <c r="A28" s="46" t="s">
        <v>418</v>
      </c>
    </row>
    <row r="29" spans="1:1" x14ac:dyDescent="0.45">
      <c r="A29" s="46" t="s">
        <v>419</v>
      </c>
    </row>
    <row r="30" spans="1:1" x14ac:dyDescent="0.45">
      <c r="A30" s="46" t="s">
        <v>420</v>
      </c>
    </row>
    <row r="31" spans="1:1" x14ac:dyDescent="0.45">
      <c r="A31" s="46" t="s">
        <v>421</v>
      </c>
    </row>
    <row r="32" spans="1:1" x14ac:dyDescent="0.45">
      <c r="A32" s="46" t="s">
        <v>422</v>
      </c>
    </row>
    <row r="33" spans="1:1" x14ac:dyDescent="0.45">
      <c r="A33" s="46" t="s">
        <v>423</v>
      </c>
    </row>
    <row r="34" spans="1:1" x14ac:dyDescent="0.45">
      <c r="A34" s="46" t="s">
        <v>424</v>
      </c>
    </row>
    <row r="35" spans="1:1" x14ac:dyDescent="0.45">
      <c r="A35" s="46" t="s">
        <v>421</v>
      </c>
    </row>
    <row r="36" spans="1:1" x14ac:dyDescent="0.45">
      <c r="A36" s="46" t="s">
        <v>425</v>
      </c>
    </row>
    <row r="37" spans="1:1" x14ac:dyDescent="0.45">
      <c r="A37" s="46" t="s">
        <v>426</v>
      </c>
    </row>
    <row r="38" spans="1:1" x14ac:dyDescent="0.45">
      <c r="A38" s="46" t="s">
        <v>427</v>
      </c>
    </row>
    <row r="39" spans="1:1" x14ac:dyDescent="0.45">
      <c r="A39" s="46" t="s">
        <v>428</v>
      </c>
    </row>
    <row r="40" spans="1:1" x14ac:dyDescent="0.45">
      <c r="A40" s="46" t="s">
        <v>429</v>
      </c>
    </row>
    <row r="41" spans="1:1" x14ac:dyDescent="0.45">
      <c r="A41" s="46" t="s">
        <v>421</v>
      </c>
    </row>
    <row r="42" spans="1:1" x14ac:dyDescent="0.45">
      <c r="A42" s="46" t="s">
        <v>430</v>
      </c>
    </row>
    <row r="43" spans="1:1" x14ac:dyDescent="0.45">
      <c r="A43" s="46" t="s">
        <v>431</v>
      </c>
    </row>
    <row r="44" spans="1:1" x14ac:dyDescent="0.45">
      <c r="A44" s="46" t="s">
        <v>432</v>
      </c>
    </row>
    <row r="45" spans="1:1" x14ac:dyDescent="0.45">
      <c r="A45" s="46" t="s">
        <v>433</v>
      </c>
    </row>
    <row r="46" spans="1:1" x14ac:dyDescent="0.45">
      <c r="A46" s="46" t="s">
        <v>421</v>
      </c>
    </row>
    <row r="47" spans="1:1" x14ac:dyDescent="0.45">
      <c r="A47" s="46" t="s">
        <v>434</v>
      </c>
    </row>
    <row r="48" spans="1:1" x14ac:dyDescent="0.45">
      <c r="A48" s="46" t="s">
        <v>435</v>
      </c>
    </row>
    <row r="49" spans="1:1" x14ac:dyDescent="0.45">
      <c r="A49" s="46" t="s">
        <v>436</v>
      </c>
    </row>
    <row r="50" spans="1:1" x14ac:dyDescent="0.45">
      <c r="A50" s="46" t="s">
        <v>437</v>
      </c>
    </row>
    <row r="51" spans="1:1" x14ac:dyDescent="0.45">
      <c r="A51" s="46" t="s">
        <v>438</v>
      </c>
    </row>
    <row r="52" spans="1:1" x14ac:dyDescent="0.45">
      <c r="A52" s="46" t="s">
        <v>439</v>
      </c>
    </row>
    <row r="53" spans="1:1" x14ac:dyDescent="0.45">
      <c r="A53" s="46" t="s">
        <v>440</v>
      </c>
    </row>
    <row r="54" spans="1:1" x14ac:dyDescent="0.45">
      <c r="A54" s="46" t="s">
        <v>441</v>
      </c>
    </row>
    <row r="55" spans="1:1" x14ac:dyDescent="0.45">
      <c r="A55" s="46" t="s">
        <v>438</v>
      </c>
    </row>
    <row r="56" spans="1:1" x14ac:dyDescent="0.45">
      <c r="A56" s="46" t="s">
        <v>442</v>
      </c>
    </row>
    <row r="57" spans="1:1" x14ac:dyDescent="0.45">
      <c r="A57" s="46" t="s">
        <v>443</v>
      </c>
    </row>
    <row r="58" spans="1:1" x14ac:dyDescent="0.45">
      <c r="A58" s="46" t="s">
        <v>444</v>
      </c>
    </row>
    <row r="59" spans="1:1" x14ac:dyDescent="0.45">
      <c r="A59" s="46" t="s">
        <v>445</v>
      </c>
    </row>
    <row r="60" spans="1:1" x14ac:dyDescent="0.45">
      <c r="A60" s="46" t="s">
        <v>446</v>
      </c>
    </row>
    <row r="61" spans="1:1" x14ac:dyDescent="0.45">
      <c r="A61" s="46" t="s">
        <v>447</v>
      </c>
    </row>
    <row r="62" spans="1:1" x14ac:dyDescent="0.45">
      <c r="A62" s="46" t="s">
        <v>448</v>
      </c>
    </row>
    <row r="63" spans="1:1" x14ac:dyDescent="0.45">
      <c r="A63" s="46" t="s">
        <v>449</v>
      </c>
    </row>
    <row r="64" spans="1:1" x14ac:dyDescent="0.45">
      <c r="A64" s="46" t="s">
        <v>450</v>
      </c>
    </row>
    <row r="65" spans="1:1" x14ac:dyDescent="0.45">
      <c r="A65" s="46" t="s">
        <v>451</v>
      </c>
    </row>
    <row r="66" spans="1:1" x14ac:dyDescent="0.45">
      <c r="A66" s="46" t="s">
        <v>452</v>
      </c>
    </row>
    <row r="67" spans="1:1" x14ac:dyDescent="0.45">
      <c r="A67" s="46" t="s">
        <v>446</v>
      </c>
    </row>
    <row r="68" spans="1:1" x14ac:dyDescent="0.45">
      <c r="A68" s="46" t="s">
        <v>453</v>
      </c>
    </row>
    <row r="69" spans="1:1" x14ac:dyDescent="0.45">
      <c r="A69" s="46" t="s">
        <v>454</v>
      </c>
    </row>
    <row r="70" spans="1:1" x14ac:dyDescent="0.45">
      <c r="A70" s="46" t="s">
        <v>446</v>
      </c>
    </row>
    <row r="71" spans="1:1" x14ac:dyDescent="0.45">
      <c r="A71" s="46" t="s">
        <v>455</v>
      </c>
    </row>
    <row r="72" spans="1:1" x14ac:dyDescent="0.45">
      <c r="A72" s="46" t="s">
        <v>456</v>
      </c>
    </row>
    <row r="73" spans="1:1" x14ac:dyDescent="0.45">
      <c r="A73" s="46" t="s">
        <v>446</v>
      </c>
    </row>
    <row r="74" spans="1:1" x14ac:dyDescent="0.45">
      <c r="A74" s="46" t="s">
        <v>457</v>
      </c>
    </row>
    <row r="75" spans="1:1" x14ac:dyDescent="0.45">
      <c r="A75" s="46" t="s">
        <v>458</v>
      </c>
    </row>
    <row r="76" spans="1:1" x14ac:dyDescent="0.45">
      <c r="A76" s="46" t="s">
        <v>446</v>
      </c>
    </row>
    <row r="77" spans="1:1" x14ac:dyDescent="0.45">
      <c r="A77" s="46" t="s">
        <v>459</v>
      </c>
    </row>
    <row r="78" spans="1:1" x14ac:dyDescent="0.45">
      <c r="A78" s="46" t="s">
        <v>460</v>
      </c>
    </row>
    <row r="79" spans="1:1" x14ac:dyDescent="0.45">
      <c r="A79" s="46" t="s">
        <v>461</v>
      </c>
    </row>
    <row r="80" spans="1:1" x14ac:dyDescent="0.45">
      <c r="A80" s="46" t="s">
        <v>462</v>
      </c>
    </row>
    <row r="81" spans="1:1" x14ac:dyDescent="0.45">
      <c r="A81" s="46" t="s">
        <v>463</v>
      </c>
    </row>
    <row r="82" spans="1:1" x14ac:dyDescent="0.45">
      <c r="A82" s="46"/>
    </row>
    <row r="83" spans="1:1" x14ac:dyDescent="0.45">
      <c r="A83" s="46" t="s">
        <v>511</v>
      </c>
    </row>
    <row r="84" spans="1:1" x14ac:dyDescent="0.45">
      <c r="A84" s="46" t="s">
        <v>507</v>
      </c>
    </row>
    <row r="85" spans="1:1" x14ac:dyDescent="0.45">
      <c r="A85" s="46" t="s">
        <v>464</v>
      </c>
    </row>
    <row r="86" spans="1:1" x14ac:dyDescent="0.45">
      <c r="A86" s="46" t="s">
        <v>413</v>
      </c>
    </row>
    <row r="87" spans="1:1" x14ac:dyDescent="0.45">
      <c r="A87" s="46" t="s">
        <v>465</v>
      </c>
    </row>
    <row r="88" spans="1:1" x14ac:dyDescent="0.45">
      <c r="A88" s="46" t="s">
        <v>466</v>
      </c>
    </row>
    <row r="89" spans="1:1" x14ac:dyDescent="0.45">
      <c r="A89" s="46" t="s">
        <v>467</v>
      </c>
    </row>
    <row r="90" spans="1:1" x14ac:dyDescent="0.45">
      <c r="A90" s="46" t="s">
        <v>468</v>
      </c>
    </row>
    <row r="91" spans="1:1" x14ac:dyDescent="0.45">
      <c r="A91" s="46" t="s">
        <v>469</v>
      </c>
    </row>
    <row r="92" spans="1:1" x14ac:dyDescent="0.45">
      <c r="A92" s="46" t="s">
        <v>413</v>
      </c>
    </row>
    <row r="93" spans="1:1" x14ac:dyDescent="0.45">
      <c r="A93" s="46" t="s">
        <v>470</v>
      </c>
    </row>
    <row r="94" spans="1:1" x14ac:dyDescent="0.45">
      <c r="A94" s="46" t="s">
        <v>471</v>
      </c>
    </row>
    <row r="95" spans="1:1" x14ac:dyDescent="0.45">
      <c r="A95" s="46" t="s">
        <v>472</v>
      </c>
    </row>
    <row r="96" spans="1:1" x14ac:dyDescent="0.45">
      <c r="A96" s="46" t="s">
        <v>473</v>
      </c>
    </row>
    <row r="97" spans="1:1" x14ac:dyDescent="0.45">
      <c r="A97" s="46" t="s">
        <v>474</v>
      </c>
    </row>
    <row r="98" spans="1:1" x14ac:dyDescent="0.45">
      <c r="A98" s="46" t="s">
        <v>475</v>
      </c>
    </row>
    <row r="99" spans="1:1" x14ac:dyDescent="0.45">
      <c r="A99" s="46" t="s">
        <v>476</v>
      </c>
    </row>
    <row r="100" spans="1:1" x14ac:dyDescent="0.45">
      <c r="A100" s="46" t="s">
        <v>477</v>
      </c>
    </row>
    <row r="101" spans="1:1" x14ac:dyDescent="0.45">
      <c r="A101" s="46" t="s">
        <v>478</v>
      </c>
    </row>
    <row r="102" spans="1:1" x14ac:dyDescent="0.45">
      <c r="A102" s="46" t="s">
        <v>479</v>
      </c>
    </row>
    <row r="103" spans="1:1" x14ac:dyDescent="0.45">
      <c r="A103" s="46" t="s">
        <v>480</v>
      </c>
    </row>
    <row r="104" spans="1:1" x14ac:dyDescent="0.45">
      <c r="A104" s="46" t="s">
        <v>481</v>
      </c>
    </row>
    <row r="105" spans="1:1" x14ac:dyDescent="0.45">
      <c r="A105" s="46" t="s">
        <v>482</v>
      </c>
    </row>
    <row r="106" spans="1:1" x14ac:dyDescent="0.45">
      <c r="A106" s="46" t="s">
        <v>483</v>
      </c>
    </row>
    <row r="107" spans="1:1" x14ac:dyDescent="0.45">
      <c r="A107" s="46"/>
    </row>
    <row r="108" spans="1:1" x14ac:dyDescent="0.45">
      <c r="A108" s="46" t="s">
        <v>484</v>
      </c>
    </row>
    <row r="109" spans="1:1" x14ac:dyDescent="0.45">
      <c r="A109" s="46" t="s">
        <v>485</v>
      </c>
    </row>
    <row r="110" spans="1:1" x14ac:dyDescent="0.45">
      <c r="A110" s="46" t="s">
        <v>468</v>
      </c>
    </row>
    <row r="111" spans="1:1" x14ac:dyDescent="0.45">
      <c r="A111" s="46" t="s">
        <v>486</v>
      </c>
    </row>
    <row r="112" spans="1:1" x14ac:dyDescent="0.45">
      <c r="A112" s="46" t="s">
        <v>487</v>
      </c>
    </row>
    <row r="113" spans="1:1" x14ac:dyDescent="0.45">
      <c r="A113" s="46" t="s">
        <v>488</v>
      </c>
    </row>
    <row r="114" spans="1:1" x14ac:dyDescent="0.45">
      <c r="A114" s="46" t="s">
        <v>489</v>
      </c>
    </row>
    <row r="115" spans="1:1" x14ac:dyDescent="0.45">
      <c r="A115" s="46" t="s">
        <v>490</v>
      </c>
    </row>
    <row r="116" spans="1:1" x14ac:dyDescent="0.45">
      <c r="A116" s="46" t="s">
        <v>491</v>
      </c>
    </row>
    <row r="117" spans="1:1" x14ac:dyDescent="0.45">
      <c r="A117" s="46" t="s">
        <v>492</v>
      </c>
    </row>
    <row r="118" spans="1:1" x14ac:dyDescent="0.45">
      <c r="A118" s="46" t="s">
        <v>493</v>
      </c>
    </row>
    <row r="119" spans="1:1" x14ac:dyDescent="0.45">
      <c r="A119" s="46" t="s">
        <v>494</v>
      </c>
    </row>
    <row r="120" spans="1:1" x14ac:dyDescent="0.45">
      <c r="A120" s="46" t="s">
        <v>495</v>
      </c>
    </row>
    <row r="121" spans="1:1" x14ac:dyDescent="0.45">
      <c r="A121" s="46" t="s">
        <v>496</v>
      </c>
    </row>
    <row r="122" spans="1:1" x14ac:dyDescent="0.45">
      <c r="A122" s="46" t="s">
        <v>468</v>
      </c>
    </row>
    <row r="123" spans="1:1" x14ac:dyDescent="0.45">
      <c r="A123" s="46" t="s">
        <v>497</v>
      </c>
    </row>
    <row r="124" spans="1:1" x14ac:dyDescent="0.45">
      <c r="A124" s="46" t="s">
        <v>498</v>
      </c>
    </row>
    <row r="125" spans="1:1" x14ac:dyDescent="0.45">
      <c r="A125" s="46" t="s">
        <v>468</v>
      </c>
    </row>
    <row r="126" spans="1:1" x14ac:dyDescent="0.45">
      <c r="A126" s="46" t="s">
        <v>499</v>
      </c>
    </row>
    <row r="127" spans="1:1" x14ac:dyDescent="0.45">
      <c r="A127" s="46" t="s">
        <v>500</v>
      </c>
    </row>
    <row r="128" spans="1:1" x14ac:dyDescent="0.45">
      <c r="A128" s="46" t="s">
        <v>501</v>
      </c>
    </row>
    <row r="129" spans="1:1" x14ac:dyDescent="0.45">
      <c r="A129" s="46" t="s">
        <v>502</v>
      </c>
    </row>
    <row r="130" spans="1:1" x14ac:dyDescent="0.45">
      <c r="A130" s="46" t="s">
        <v>503</v>
      </c>
    </row>
    <row r="131" spans="1:1" x14ac:dyDescent="0.45">
      <c r="A131" s="46" t="s">
        <v>468</v>
      </c>
    </row>
    <row r="132" spans="1:1" x14ac:dyDescent="0.45">
      <c r="A132" s="46" t="s">
        <v>504</v>
      </c>
    </row>
    <row r="133" spans="1:1" x14ac:dyDescent="0.45">
      <c r="A133" s="47" t="s">
        <v>509</v>
      </c>
    </row>
    <row r="134" spans="1:1" x14ac:dyDescent="0.45">
      <c r="A134" s="46" t="s">
        <v>504</v>
      </c>
    </row>
    <row r="135" spans="1:1" x14ac:dyDescent="0.45">
      <c r="A135" s="46" t="s">
        <v>508</v>
      </c>
    </row>
    <row r="136" spans="1:1" x14ac:dyDescent="0.45">
      <c r="A136" s="46"/>
    </row>
    <row r="137" spans="1:1" x14ac:dyDescent="0.45">
      <c r="A137" s="46" t="s">
        <v>505</v>
      </c>
    </row>
    <row r="138" spans="1:1" x14ac:dyDescent="0.45">
      <c r="A138" s="46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C6D3-A498-4B24-B9B2-41C7738F0597}">
  <dimension ref="A2:H18"/>
  <sheetViews>
    <sheetView showGridLines="0" showRowColHeaders="0" topLeftCell="A4" workbookViewId="0">
      <selection activeCell="F16" sqref="F16"/>
    </sheetView>
  </sheetViews>
  <sheetFormatPr baseColWidth="10" defaultRowHeight="17" x14ac:dyDescent="0.45"/>
  <cols>
    <col min="1" max="1" width="22.90625" style="1" customWidth="1"/>
    <col min="2" max="2" width="15.81640625" style="1" customWidth="1"/>
    <col min="3" max="3" width="13.453125" style="1" customWidth="1"/>
    <col min="4" max="4" width="13.36328125" style="1" customWidth="1"/>
    <col min="5" max="5" width="11.7265625" style="1" bestFit="1" customWidth="1"/>
    <col min="6" max="6" width="8.08984375" style="1" customWidth="1"/>
    <col min="7" max="7" width="34.1796875" style="1" bestFit="1" customWidth="1"/>
    <col min="8" max="8" width="68" style="1" bestFit="1" customWidth="1"/>
    <col min="9" max="16384" width="10.90625" style="1"/>
  </cols>
  <sheetData>
    <row r="2" spans="1:8" x14ac:dyDescent="0.45">
      <c r="A2" s="28" t="s">
        <v>513</v>
      </c>
    </row>
    <row r="3" spans="1:8" x14ac:dyDescent="0.45">
      <c r="A3" s="28" t="s">
        <v>514</v>
      </c>
      <c r="B3" s="51">
        <v>46178</v>
      </c>
    </row>
    <row r="4" spans="1:8" x14ac:dyDescent="0.45">
      <c r="G4" s="28" t="s">
        <v>522</v>
      </c>
    </row>
    <row r="5" spans="1:8" ht="32" x14ac:dyDescent="0.45">
      <c r="A5" s="50" t="s">
        <v>547</v>
      </c>
      <c r="B5" s="23" t="s">
        <v>386</v>
      </c>
      <c r="C5" s="24" t="s">
        <v>389</v>
      </c>
      <c r="D5" s="25" t="s">
        <v>387</v>
      </c>
      <c r="E5" s="26" t="s">
        <v>390</v>
      </c>
      <c r="G5" s="54" t="s">
        <v>515</v>
      </c>
      <c r="H5" s="54" t="s">
        <v>516</v>
      </c>
    </row>
    <row r="6" spans="1:8" x14ac:dyDescent="0.45">
      <c r="A6" s="27">
        <v>2023</v>
      </c>
      <c r="B6" s="66">
        <f>SUMIFS('GBM-DW'!O:O,'GBM-DW'!B:B,"&gt;="&amp;DATE($A6,1,1),'GBM-DW'!B:B, "&lt;="&amp;DATE($A6,12,31))</f>
        <v>0</v>
      </c>
      <c r="C6" s="66">
        <f>SUMIFS('IBKR Transactions'!R:R,'IBKR Transactions'!A:A,"&gt;="&amp;DATE($A6,1,1),'IBKR Transactions'!A:A, "&lt;="&amp;DATE($A6,12,31))</f>
        <v>0</v>
      </c>
      <c r="D6" s="66">
        <f>SUMIFS(Moomoo!T:T,Moomoo!I:I,"&gt;="&amp;DATE($A6,1,1),Moomoo!I:I, "&lt;="&amp;DATE($A6,12,31))</f>
        <v>0</v>
      </c>
      <c r="E6" s="66">
        <f>SUMIFS('IBKR Activity Statement'!K:K,'IBKR Activity Statement'!G:G,"&gt;="&amp;DATE($A6,1,1),'IBKR Activity Statement'!G:G, "&lt;="&amp;DATE($A6,12,31))</f>
        <v>0</v>
      </c>
      <c r="G6" s="53" t="s">
        <v>517</v>
      </c>
      <c r="H6" s="53" t="s">
        <v>518</v>
      </c>
    </row>
    <row r="7" spans="1:8" x14ac:dyDescent="0.45">
      <c r="A7" s="27">
        <v>2024</v>
      </c>
      <c r="B7" s="66">
        <f>SUMIFS('GBM-DW'!O:O,'GBM-DW'!B:B,"&gt;="&amp;DATE($A7,1,1),'GBM-DW'!B:B, "&lt;="&amp;DATE($A7,12,31))</f>
        <v>153.53963489026944</v>
      </c>
      <c r="C7" s="66">
        <f>SUMIFS('IBKR Transactions'!R:R,'IBKR Transactions'!A:A,"&gt;="&amp;DATE($A7,1,1),'IBKR Transactions'!A:A, "&lt;="&amp;DATE($A7,12,31))</f>
        <v>0</v>
      </c>
      <c r="D7" s="66">
        <f>SUMIFS(Moomoo!T:T,Moomoo!I:I,"&gt;="&amp;DATE($A7,1,1),Moomoo!I:I, "&lt;="&amp;DATE($A7,12,31))</f>
        <v>0</v>
      </c>
      <c r="E7" s="66">
        <f>SUMIFS('IBKR Activity Statement'!K:K,'IBKR Activity Statement'!G:G,"&gt;="&amp;DATE($A7,1,1),'IBKR Activity Statement'!G:G, "&lt;="&amp;DATE($A7,12,31))</f>
        <v>0</v>
      </c>
      <c r="G7" s="52" t="s">
        <v>519</v>
      </c>
      <c r="H7" s="52" t="s">
        <v>520</v>
      </c>
    </row>
    <row r="8" spans="1:8" x14ac:dyDescent="0.45">
      <c r="A8" s="27">
        <v>2025</v>
      </c>
      <c r="B8" s="66">
        <f>SUMIFS('GBM-DW'!O:O,'GBM-DW'!B:B,"&gt;="&amp;DATE($A8,1,1),'GBM-DW'!B:B, "&lt;="&amp;DATE($A8,12,31))</f>
        <v>-48.836963955263982</v>
      </c>
      <c r="C8" s="66">
        <f>SUMIFS('IBKR Transactions'!R:R,'IBKR Transactions'!A:A,"&gt;="&amp;DATE($A8,1,1),'IBKR Transactions'!A:A, "&lt;="&amp;DATE($A8,12,31))</f>
        <v>0</v>
      </c>
      <c r="D8" s="66">
        <f>SUMIFS(Moomoo!T:T,Moomoo!I:I,"&gt;="&amp;DATE($A8,1,1),Moomoo!I:I, "&lt;="&amp;DATE($A8,12,31))</f>
        <v>-4563.9579276834111</v>
      </c>
      <c r="E8" s="66">
        <f>SUMIFS('IBKR Activity Statement'!K:K,'IBKR Activity Statement'!G:G,"&gt;="&amp;DATE($A8,1,1),'IBKR Activity Statement'!G:G, "&lt;="&amp;DATE($A8,12,31))</f>
        <v>0</v>
      </c>
      <c r="G8" s="52" t="s">
        <v>521</v>
      </c>
      <c r="H8" s="52" t="s">
        <v>546</v>
      </c>
    </row>
    <row r="9" spans="1:8" x14ac:dyDescent="0.45">
      <c r="A9" s="27">
        <v>2026</v>
      </c>
      <c r="B9" s="66">
        <f>SUMIFS('GBM-DW'!O:O,'GBM-DW'!B:B,"&gt;="&amp;DATE($A9,1,1),'GBM-DW'!B:B, "&lt;="&amp;DATE($A9,12,31))</f>
        <v>610.66847033379122</v>
      </c>
      <c r="C9" s="66">
        <f>SUMIFS('IBKR Transactions'!R:R,'IBKR Transactions'!A:A,"&gt;="&amp;DATE($A9,1,1),'IBKR Transactions'!A:A, "&lt;="&amp;DATE($A9,12,31))</f>
        <v>15797.374027947339</v>
      </c>
      <c r="D9" s="66">
        <f>SUMIFS(Moomoo!T:T,Moomoo!I:I,"&gt;="&amp;DATE($A9,1,1),Moomoo!I:I, "&lt;="&amp;DATE($A9,12,31))</f>
        <v>1465.0199128009713</v>
      </c>
      <c r="E9" s="66">
        <f ca="1">SUMIFS('IBKR Activity Statement'!K:K,'IBKR Activity Statement'!G:G,"&gt;="&amp;DATE($A9,1,1),'IBKR Activity Statement'!G:G, "&lt;="&amp;DATE($A9,12,31))</f>
        <v>15797.374027947335</v>
      </c>
    </row>
    <row r="10" spans="1:8" x14ac:dyDescent="0.45">
      <c r="A10" s="48"/>
      <c r="B10" s="49"/>
      <c r="C10" s="49"/>
      <c r="D10" s="49"/>
      <c r="E10" s="49"/>
      <c r="G10" s="1" t="s">
        <v>537</v>
      </c>
    </row>
    <row r="11" spans="1:8" x14ac:dyDescent="0.45">
      <c r="G11" s="1" t="s">
        <v>538</v>
      </c>
    </row>
    <row r="14" spans="1:8" ht="32" x14ac:dyDescent="0.45">
      <c r="A14" s="50" t="s">
        <v>548</v>
      </c>
      <c r="B14" s="67" t="s">
        <v>549</v>
      </c>
      <c r="C14" s="68" t="s">
        <v>550</v>
      </c>
      <c r="D14" s="69" t="s">
        <v>521</v>
      </c>
    </row>
    <row r="15" spans="1:8" x14ac:dyDescent="0.45">
      <c r="A15" s="27">
        <v>2023</v>
      </c>
      <c r="B15" s="70" cm="1">
        <f t="array" ref="B15">SUMPRODUCT(IFERROR('GBM-DW'!O:O / 'GBM-DW'!P:P, 0) * ('GBM-DW'!B:B &gt;= DATE($A15, 1, 1)) * ('GBM-DW'!B:B &lt;= DATE($A15, 12, 31)))+SUMPRODUCT(IFERROR('IBKR Transactions'!R:R / 'IBKR Transactions'!S:S, 0) * ('IBKR Transactions'!A:A &gt;= DATE($A15, 1, 1)) * ('IBKR Transactions'!A:A &lt;= DATE($A15, 12, 31)))+SUMPRODUCT(IFERROR(Moomoo!T:T / Moomoo!U:U, 0) * (Moomoo!I:I &gt;= DATE($A15, 1, 1)) * (Moomoo!I:I &lt;= DATE($A15, 12, 31)))-D15</f>
        <v>0</v>
      </c>
      <c r="C15" s="66">
        <f>SUM(B6:D6)-B15-D15</f>
        <v>0</v>
      </c>
      <c r="D15" s="66">
        <f>SUMIFS('IBKR Transactions'!R:R,'IBKR Transactions'!A:A,"&gt;="&amp;DATE($A15,1,1),'IBKR Transactions'!A:A,"&lt;="&amp;DATE($A15,12,31),'IBKR Transactions'!H:H,"&lt;&gt;0")+SUMIFS(Moomoo!T:T,Moomoo!I:I,"&gt;="&amp;DATE($A15,1,1),Moomoo!I:I,"&lt;="&amp;DATE($A15,12,31),Moomoo!J:J,"call")+SUMIFS(Moomoo!T:T,Moomoo!I:I,"&gt;="&amp;DATE($A15,1,1),Moomoo!I:I,"&lt;="&amp;DATE($A15,12,31),Moomoo!J:J,"put")</f>
        <v>0</v>
      </c>
    </row>
    <row r="16" spans="1:8" x14ac:dyDescent="0.45">
      <c r="A16" s="27">
        <v>2024</v>
      </c>
      <c r="B16" s="70" cm="1">
        <f t="array" ref="B16">SUMPRODUCT(IFERROR('GBM-DW'!O:O / 'GBM-DW'!P:P, 0) * ('GBM-DW'!B:B &gt;= DATE($A16, 1, 1)) * ('GBM-DW'!B:B &lt;= DATE($A16, 12, 31)))+SUMPRODUCT(IFERROR('IBKR Transactions'!R:R / 'IBKR Transactions'!S:S, 0) * ('IBKR Transactions'!A:A &gt;= DATE($A16, 1, 1)) * ('IBKR Transactions'!A:A &lt;= DATE($A16, 12, 31)))+SUMPRODUCT(IFERROR(Moomoo!T:T / Moomoo!U:U, 0) * (Moomoo!I:I &gt;= DATE($A16, 1, 1)) * (Moomoo!I:I &lt;= DATE($A16, 12, 31)))-D16</f>
        <v>153.53963489026944</v>
      </c>
      <c r="C16" s="66">
        <f t="shared" ref="C16:C18" si="0">SUM(B7:D7)-B16-D16</f>
        <v>0</v>
      </c>
      <c r="D16" s="66">
        <f>SUMIFS('IBKR Transactions'!R:R,'IBKR Transactions'!A:A,"&gt;="&amp;DATE($A16,1,1),'IBKR Transactions'!A:A,"&lt;="&amp;DATE($A16,12,31),'IBKR Transactions'!H:H,"&lt;&gt;0")+SUMIFS(Moomoo!T:T,Moomoo!I:I,"&gt;="&amp;DATE($A16,1,1),Moomoo!I:I,"&lt;="&amp;DATE($A16,12,31),Moomoo!J:J,"call")+SUMIFS(Moomoo!T:T,Moomoo!I:I,"&gt;="&amp;DATE($A16,1,1),Moomoo!I:I,"&lt;="&amp;DATE($A16,12,31),Moomoo!J:J,"put")</f>
        <v>0</v>
      </c>
    </row>
    <row r="17" spans="1:4" x14ac:dyDescent="0.45">
      <c r="A17" s="27">
        <v>2025</v>
      </c>
      <c r="B17" s="70" cm="1">
        <f t="array" ref="B17">SUMPRODUCT(IFERROR('GBM-DW'!O:O / 'GBM-DW'!P:P, 0) * ('GBM-DW'!B:B &gt;= DATE($A17, 1, 1)) * ('GBM-DW'!B:B &lt;= DATE($A17, 12, 31)))+SUMPRODUCT(IFERROR('IBKR Transactions'!R:R / 'IBKR Transactions'!S:S, 0) * ('IBKR Transactions'!A:A &gt;= DATE($A17, 1, 1)) * ('IBKR Transactions'!A:A &lt;= DATE($A17, 12, 31)))+SUMPRODUCT(IFERROR(Moomoo!T:T / Moomoo!U:U, 0) * (Moomoo!I:I &gt;= DATE($A17, 1, 1)) * (Moomoo!I:I &lt;= DATE($A17, 12, 31)))-D17</f>
        <v>31.922097044733164</v>
      </c>
      <c r="C17" s="66">
        <f t="shared" si="0"/>
        <v>0</v>
      </c>
      <c r="D17" s="66">
        <f>SUMIFS('IBKR Transactions'!R:R,'IBKR Transactions'!A:A,"&gt;="&amp;DATE($A17,1,1),'IBKR Transactions'!A:A,"&lt;="&amp;DATE($A17,12,31),'IBKR Transactions'!H:H,"&lt;&gt;0")+SUMIFS(Moomoo!T:T,Moomoo!I:I,"&gt;="&amp;DATE($A17,1,1),Moomoo!I:I,"&lt;="&amp;DATE($A17,12,31),Moomoo!J:J,"call")+SUMIFS(Moomoo!T:T,Moomoo!I:I,"&gt;="&amp;DATE($A17,1,1),Moomoo!I:I,"&lt;="&amp;DATE($A17,12,31),Moomoo!J:J,"put")</f>
        <v>-4644.7169886834081</v>
      </c>
    </row>
    <row r="18" spans="1:4" x14ac:dyDescent="0.45">
      <c r="A18" s="27">
        <v>2026</v>
      </c>
      <c r="B18" s="70" cm="1">
        <f t="array" ref="B18">SUMPRODUCT(IFERROR('GBM-DW'!O:O / 'GBM-DW'!P:P, 0) * ('GBM-DW'!B:B &gt;= DATE($A18, 1, 1)) * ('GBM-DW'!B:B &lt;= DATE($A18, 12, 31)))+SUMPRODUCT(IFERROR('IBKR Transactions'!R:R / 'IBKR Transactions'!S:S, 0) * ('IBKR Transactions'!A:A &gt;= DATE($A18, 1, 1)) * ('IBKR Transactions'!A:A &lt;= DATE($A18, 12, 31)))+SUMPRODUCT(IFERROR(Moomoo!T:T / Moomoo!U:U, 0) * (Moomoo!I:I &gt;= DATE($A18, 1, 1)) * (Moomoo!I:I &lt;= DATE($A18, 12, 31)))-D18</f>
        <v>610.66847033379236</v>
      </c>
      <c r="C18" s="66">
        <f t="shared" si="0"/>
        <v>0</v>
      </c>
      <c r="D18" s="66">
        <f>SUMIFS('IBKR Transactions'!R:R,'IBKR Transactions'!A:A,"&gt;="&amp;DATE($A18,1,1),'IBKR Transactions'!A:A,"&lt;="&amp;DATE($A18,12,31),'IBKR Transactions'!H:H,"&lt;&gt;0")+SUMIFS(Moomoo!T:T,Moomoo!I:I,"&gt;="&amp;DATE($A18,1,1),Moomoo!I:I,"&lt;="&amp;DATE($A18,12,31),Moomoo!J:J,"call")+SUMIFS(Moomoo!T:T,Moomoo!I:I,"&gt;="&amp;DATE($A18,1,1),Moomoo!I:I,"&lt;="&amp;DATE($A18,12,31),Moomoo!J:J,"put")</f>
        <v>17262.393940748309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P346"/>
  <sheetViews>
    <sheetView showGridLines="0" showRowColHeaders="0" workbookViewId="0">
      <selection activeCell="Q9" sqref="Q9"/>
    </sheetView>
  </sheetViews>
  <sheetFormatPr baseColWidth="10" defaultColWidth="8.7265625" defaultRowHeight="16" x14ac:dyDescent="0.45"/>
  <cols>
    <col min="1" max="1" width="12.90625" style="3" customWidth="1"/>
    <col min="2" max="2" width="14" style="5" customWidth="1"/>
    <col min="3" max="7" width="8.7265625" style="3"/>
    <col min="8" max="8" width="8.7265625" style="5"/>
    <col min="9" max="9" width="9.26953125" style="5" customWidth="1"/>
    <col min="10" max="10" width="14" style="5" hidden="1" customWidth="1"/>
    <col min="11" max="11" width="11.453125" style="5" hidden="1" customWidth="1"/>
    <col min="12" max="12" width="11.7265625" style="3" customWidth="1"/>
    <col min="13" max="13" width="11.36328125" style="3" customWidth="1"/>
    <col min="14" max="14" width="14" style="3" customWidth="1"/>
    <col min="15" max="15" width="14.1796875" style="65" customWidth="1"/>
    <col min="16" max="16" width="16.81640625" style="3" customWidth="1"/>
    <col min="17" max="16384" width="8.7265625" style="3"/>
  </cols>
  <sheetData>
    <row r="1" spans="1:16" ht="48" x14ac:dyDescent="0.45">
      <c r="A1" s="19" t="s">
        <v>0</v>
      </c>
      <c r="B1" s="21" t="s">
        <v>213</v>
      </c>
      <c r="C1" s="20" t="s">
        <v>1</v>
      </c>
      <c r="D1" s="2" t="s">
        <v>214</v>
      </c>
      <c r="E1" s="2" t="s">
        <v>2</v>
      </c>
      <c r="F1" s="2" t="s">
        <v>3</v>
      </c>
      <c r="G1" s="19" t="s">
        <v>4</v>
      </c>
      <c r="H1" s="17" t="s">
        <v>215</v>
      </c>
      <c r="I1" s="17" t="s">
        <v>363</v>
      </c>
      <c r="J1" s="17" t="s">
        <v>528</v>
      </c>
      <c r="K1" s="17" t="s">
        <v>523</v>
      </c>
      <c r="L1" s="17" t="s">
        <v>524</v>
      </c>
      <c r="M1" s="17" t="s">
        <v>525</v>
      </c>
      <c r="N1" s="17" t="s">
        <v>529</v>
      </c>
      <c r="O1" s="64" t="s">
        <v>526</v>
      </c>
      <c r="P1" s="17" t="s">
        <v>527</v>
      </c>
    </row>
    <row r="2" spans="1:16" x14ac:dyDescent="0.45">
      <c r="A2" s="3" t="s">
        <v>73</v>
      </c>
      <c r="B2" s="4">
        <f>DATEVALUE(A2)</f>
        <v>46139</v>
      </c>
      <c r="C2" s="3" t="s">
        <v>90</v>
      </c>
      <c r="D2" s="3" t="s">
        <v>93</v>
      </c>
      <c r="E2" s="3">
        <v>0.73358109000000005</v>
      </c>
      <c r="F2" s="3">
        <v>41.249699999999997</v>
      </c>
      <c r="G2" s="3">
        <v>-30.33</v>
      </c>
      <c r="H2" s="5">
        <v>17.383800000000001</v>
      </c>
      <c r="I2" s="8">
        <f>SUMIF(D2:D$1000,D2,E2:E$1000)</f>
        <v>2.6348027700000003</v>
      </c>
      <c r="J2" s="9" cm="1">
        <f t="array" ref="J2">IF(I2&gt;IFERROR(_xlfn.XLOOKUP(D2,D3:D$1000,I3:I$1000,,0,1),0),(IFERROR(_xlfn.XLOOKUP(D2,D3:D$1000,J3:J$1000,,0,1),0)*IFERROR(_xlfn.XLOOKUP(D2,D3:D$1000,I3:I$1000,,0,1),0)-G2*H2)/I2,_xlfn.XLOOKUP(D2,D3:D$1000,J3:J$1000,,0,1))</f>
        <v>1490.7268721294076</v>
      </c>
      <c r="K2" s="10" cm="1">
        <f t="array" ref="K2">IFERROR(IF(I2&lt;_xlfn.XLOOKUP(D2,D3:D$1000,I3:I$1000,,0,1),G2*H2-_xlfn.XLOOKUP(D2,D3:D$1000,J3:J$1000,,0,1)*-E2,0),0)</f>
        <v>0</v>
      </c>
      <c r="L2" s="56">
        <v>145.83099999999999</v>
      </c>
      <c r="M2" s="56">
        <v>145.54400000000001</v>
      </c>
      <c r="N2" s="59" cm="1">
        <f t="array" ref="N2">IF(I2&gt;_xlfn.XLOOKUP(D2,D3:D$1000,I3:I$1000,0,0,1),(_xlfn.XLOOKUP(D2,D3:D$1000,N3:N$1000,0,0,1)*MAX(1,L2/_xlfn.XLOOKUP(D2,D3:D$1000,L3:L$1000,L2,0,1))*_xlfn.XLOOKUP(D2,D3:D$1000,I3:I$1000,0,0,1)-G2*H2)/I2,_xlfn.XLOOKUP(D2,D3:D$1000,N3:N$1000,,0,1)*MAX(1,L2/_xlfn.XLOOKUP(D2,D3:D$1000,L3:L$1000,,0,1)))</f>
        <v>1568.4847069467689</v>
      </c>
      <c r="O2" s="59" cm="1">
        <f t="array" ref="O2">IFERROR(IF(I2&lt;_xlfn.XLOOKUP(D2,D3:D$1000,I3:I$1000,,0,1),G2*H2-_xlfn.XLOOKUP(D2,D3:D$1000,N3:N$1000,,0,1)*-E2*MAX(1,M2/IFERROR(_xlfn.XLOOKUP(D2,D3:D$1000,L3:L$1000,,0,1),M2)),0),0)</f>
        <v>0</v>
      </c>
      <c r="P2" s="56" t="str" cm="1">
        <f t="array" ref="P2">IF(O2&lt;0,1,IF(E2&lt;0, _xlfn.LET(_xlpm.v_cant, ABS(E2), _xlpm.v_fecha, B2, _xlpm.v_ticker, D2, _xlpm.rango_f, B3:B$1000, _xlpm.rango_t, E3:E$1000, _xlpm.filtro, D3:D$1000=_xlpm.v_ticker, _xlpm.c_fechas, _xlfn._xlws.FILTER(_xlpm.rango_f, _xlpm.filtro*(_xlpm.rango_t&gt;0), _xlpm.v_fecha), _xlpm.c_cants, _xlfn._xlws.FILTER(_xlpm.rango_t, _xlpm.filtro*(_xlpm.rango_t&gt;0), 0), _xlpm.v_acums_pasadas, ABS(SUMIFS(E3:E$1000, D3:D$1000, _xlpm.v_ticker, E3:E$1000,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" spans="1:16" x14ac:dyDescent="0.45">
      <c r="A3" s="3" t="s">
        <v>89</v>
      </c>
      <c r="B3" s="4">
        <f t="shared" ref="B3:B65" si="0">DATEVALUE(A3)</f>
        <v>46112</v>
      </c>
      <c r="C3" s="3" t="s">
        <v>90</v>
      </c>
      <c r="D3" s="3" t="s">
        <v>128</v>
      </c>
      <c r="E3" s="3">
        <v>4.5540499999999998E-2</v>
      </c>
      <c r="F3" s="3">
        <v>328.49880000000002</v>
      </c>
      <c r="G3" s="3">
        <v>-14.99</v>
      </c>
      <c r="H3" s="5">
        <v>18.003299999999999</v>
      </c>
      <c r="I3" s="8">
        <f>SUMIF(D3:D$1000,D3,E3:E$1000)</f>
        <v>0.35743738000000003</v>
      </c>
      <c r="J3" s="9" cm="1">
        <f t="array" ref="J3">IF(I3&gt;IFERROR(_xlfn.XLOOKUP(D3,D4:D$1000,I4:I$1000,,0,1),0),(IFERROR(_xlfn.XLOOKUP(D3,D4:D$1000,J4:J$1000,,0,1),0)*IFERROR(_xlfn.XLOOKUP(D3,D4:D$1000,I4:I$1000,,0,1),0)-G3*H3)/I3,_xlfn.XLOOKUP(D3,D4:D$1000,J4:J$1000,,0,1))</f>
        <v>3261.7532894852798</v>
      </c>
      <c r="K3" s="10" cm="1">
        <f t="array" ref="K3">IFERROR(IF(I3&lt;_xlfn.XLOOKUP(D3,D4:D$1000,I4:I$1000,,0,1),G3*H3-_xlfn.XLOOKUP(D3,D4:D$1000,J4:J$1000,,0,1)*-E3,0),0)</f>
        <v>0</v>
      </c>
      <c r="L3" s="56">
        <v>145.54400000000001</v>
      </c>
      <c r="M3" s="56">
        <v>144.30699999999999</v>
      </c>
      <c r="N3" s="59" cm="1">
        <f t="array" ref="N3">IF(I3&gt;_xlfn.XLOOKUP(D3,D4:D$1000,I4:I$1000,0,0,1),(_xlfn.XLOOKUP(D3,D4:D$1000,N4:N$1000,0,0,1)*MAX(1,L3/_xlfn.XLOOKUP(D3,D4:D$1000,L4:L$1000,L3,0,1))*_xlfn.XLOOKUP(D3,D4:D$1000,I4:I$1000,0,0,1)-G3*H3)/I3,_xlfn.XLOOKUP(D3,D4:D$1000,N4:N$1000,,0,1)*MAX(1,L3/_xlfn.XLOOKUP(D3,D4:D$1000,L4:L$1000,,0,1)))</f>
        <v>3371.5896307870812</v>
      </c>
      <c r="O3" s="59" cm="1">
        <f t="array" ref="O3">IFERROR(IF(I3&lt;_xlfn.XLOOKUP(D3,D4:D$1000,I4:I$1000,,0,1),G3*H3-_xlfn.XLOOKUP(D3,D4:D$1000,N4:N$1000,,0,1)*-E3*MAX(1,M3/IFERROR(_xlfn.XLOOKUP(D3,D4:D$1000,L4:L$1000,,0,1),M3)),0),0)</f>
        <v>0</v>
      </c>
      <c r="P3" s="56" t="str" cm="1">
        <f t="array" ref="P3">IF(O3&lt;0,1,IF(E3&lt;0, _xlfn.LET(_xlpm.v_cant, ABS(E3), _xlpm.v_fecha, B3, _xlpm.v_ticker, D3, _xlpm.rango_f, B4:B$1000, _xlpm.rango_t, E4:E$1000, _xlpm.filtro, D4:D$1000=_xlpm.v_ticker, _xlpm.c_fechas, _xlfn._xlws.FILTER(_xlpm.rango_f, _xlpm.filtro*(_xlpm.rango_t&gt;0), _xlpm.v_fecha), _xlpm.c_cants, _xlfn._xlws.FILTER(_xlpm.rango_t, _xlpm.filtro*(_xlpm.rango_t&gt;0), 0), _xlpm.v_acums_pasadas, ABS(SUMIFS(E4:E$1000, D4:D$1000, _xlpm.v_ticker, E4:E$1000,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" spans="1:16" x14ac:dyDescent="0.45">
      <c r="A4" s="3" t="s">
        <v>89</v>
      </c>
      <c r="B4" s="4">
        <f t="shared" si="0"/>
        <v>46112</v>
      </c>
      <c r="C4" s="3" t="s">
        <v>90</v>
      </c>
      <c r="D4" s="3" t="s">
        <v>121</v>
      </c>
      <c r="E4" s="3">
        <v>1</v>
      </c>
      <c r="F4" s="3">
        <v>11.1586</v>
      </c>
      <c r="G4" s="3">
        <v>-11.16</v>
      </c>
      <c r="H4" s="5">
        <v>18.003299999999999</v>
      </c>
      <c r="I4" s="8">
        <f>SUMIF(D4:D$1000,D4,E4:E$1000)</f>
        <v>15.081230050000002</v>
      </c>
      <c r="J4" s="9" cm="1">
        <f t="array" ref="J4">IF(I4&gt;IFERROR(_xlfn.XLOOKUP(D4,D5:D$1000,I5:I$1000,,0,1),0),(IFERROR(_xlfn.XLOOKUP(D4,D5:D$1000,J5:J$1000,,0,1),0)*IFERROR(_xlfn.XLOOKUP(D4,D5:D$1000,I5:I$1000,,0,1),0)-G4*H4)/I4,_xlfn.XLOOKUP(D4,D5:D$1000,J5:J$1000,,0,1))</f>
        <v>122.01304236453841</v>
      </c>
      <c r="K4" s="10" cm="1">
        <f t="array" ref="K4">IFERROR(IF(I4&lt;_xlfn.XLOOKUP(D4,D5:D$1000,I5:I$1000,,0,1),G4*H4-_xlfn.XLOOKUP(D4,D5:D$1000,J5:J$1000,,0,1)*-E4,0),0)</f>
        <v>0</v>
      </c>
      <c r="L4" s="56">
        <v>145.54400000000001</v>
      </c>
      <c r="M4" s="56">
        <v>144.30699999999999</v>
      </c>
      <c r="N4" s="59" cm="1">
        <f t="array" ref="N4">IF(I4&gt;_xlfn.XLOOKUP(D4,D5:D$1000,I5:I$1000,0,0,1),(_xlfn.XLOOKUP(D4,D5:D$1000,N5:N$1000,0,0,1)*MAX(1,L4/_xlfn.XLOOKUP(D4,D5:D$1000,L5:L$1000,L4,0,1))*_xlfn.XLOOKUP(D4,D5:D$1000,I5:I$1000,0,0,1)-G4*H4)/I4,_xlfn.XLOOKUP(D4,D5:D$1000,N5:N$1000,,0,1)*MAX(1,L4/_xlfn.XLOOKUP(D4,D5:D$1000,L5:L$1000,,0,1)))</f>
        <v>127.04929611155194</v>
      </c>
      <c r="O4" s="59" cm="1">
        <f t="array" ref="O4">IFERROR(IF(I4&lt;_xlfn.XLOOKUP(D4,D5:D$1000,I5:I$1000,,0,1),G4*H4-_xlfn.XLOOKUP(D4,D5:D$1000,N5:N$1000,,0,1)*-E4*MAX(1,M4/IFERROR(_xlfn.XLOOKUP(D4,D5:D$1000,L5:L$1000,,0,1),M4)),0),0)</f>
        <v>0</v>
      </c>
      <c r="P4" s="56" t="str" cm="1">
        <f t="array" ref="P4">IF(O4&lt;0,1,IF(E4&lt;0, _xlfn.LET(_xlpm.v_cant, ABS(E4), _xlpm.v_fecha, B4, _xlpm.v_ticker, D4, _xlpm.rango_f, B5:B$1000, _xlpm.rango_t, E5:E$1000, _xlpm.filtro, D5:D$1000=_xlpm.v_ticker, _xlpm.c_fechas, _xlfn._xlws.FILTER(_xlpm.rango_f, _xlpm.filtro*(_xlpm.rango_t&gt;0), _xlpm.v_fecha), _xlpm.c_cants, _xlfn._xlws.FILTER(_xlpm.rango_t, _xlpm.filtro*(_xlpm.rango_t&gt;0), 0), _xlpm.v_acums_pasadas, ABS(SUMIFS(E5:E$1000, D5:D$1000, _xlpm.v_ticker, E5:E$1000,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" spans="1:16" x14ac:dyDescent="0.45">
      <c r="A5" s="3" t="s">
        <v>89</v>
      </c>
      <c r="B5" s="4">
        <f t="shared" si="0"/>
        <v>46112</v>
      </c>
      <c r="C5" s="3" t="s">
        <v>90</v>
      </c>
      <c r="D5" s="3" t="s">
        <v>121</v>
      </c>
      <c r="E5" s="3">
        <v>0.34066996999999999</v>
      </c>
      <c r="F5" s="3">
        <v>11.1586</v>
      </c>
      <c r="G5" s="3">
        <v>-3.83</v>
      </c>
      <c r="H5" s="5">
        <v>18.003299999999999</v>
      </c>
      <c r="I5" s="8">
        <f>SUMIF(D5:D$1000,D5,E5:E$1000)</f>
        <v>14.081230050000002</v>
      </c>
      <c r="J5" s="9" cm="1">
        <f t="array" ref="J5">IF(I5&gt;IFERROR(_xlfn.XLOOKUP(D5,D6:D$1000,I6:I$1000,,0,1),0),(IFERROR(_xlfn.XLOOKUP(D5,D6:D$1000,J6:J$1000,,0,1),0)*IFERROR(_xlfn.XLOOKUP(D5,D6:D$1000,I6:I$1000,,0,1),0)-G5*H5)/I5,_xlfn.XLOOKUP(D5,D6:D$1000,J6:J$1000,,0,1))</f>
        <v>116.40956984436168</v>
      </c>
      <c r="K5" s="10" cm="1">
        <f t="array" ref="K5">IFERROR(IF(I5&lt;_xlfn.XLOOKUP(D5,D6:D$1000,I6:I$1000,,0,1),G5*H5-_xlfn.XLOOKUP(D5,D6:D$1000,J6:J$1000,,0,1)*-E5,0),0)</f>
        <v>0</v>
      </c>
      <c r="L5" s="56">
        <v>145.54400000000001</v>
      </c>
      <c r="M5" s="56">
        <v>144.30699999999999</v>
      </c>
      <c r="N5" s="59" cm="1">
        <f t="array" ref="N5">IF(I5&gt;_xlfn.XLOOKUP(D5,D6:D$1000,I6:I$1000,0,0,1),(_xlfn.XLOOKUP(D5,D6:D$1000,N6:N$1000,0,0,1)*MAX(1,L5/_xlfn.XLOOKUP(D5,D6:D$1000,L6:L$1000,L5,0,1))*_xlfn.XLOOKUP(D5,D6:D$1000,I6:I$1000,0,0,1)-G5*H5)/I5,_xlfn.XLOOKUP(D5,D6:D$1000,N6:N$1000,,0,1)*MAX(1,L5/_xlfn.XLOOKUP(D5,D6:D$1000,L6:L$1000,,0,1)))</f>
        <v>121.80348082225142</v>
      </c>
      <c r="O5" s="59" cm="1">
        <f t="array" ref="O5">IFERROR(IF(I5&lt;_xlfn.XLOOKUP(D5,D6:D$1000,I6:I$1000,,0,1),G5*H5-_xlfn.XLOOKUP(D5,D6:D$1000,N6:N$1000,,0,1)*-E5*MAX(1,M5/IFERROR(_xlfn.XLOOKUP(D5,D6:D$1000,L6:L$1000,,0,1),M5)),0),0)</f>
        <v>0</v>
      </c>
      <c r="P5" s="56" t="str" cm="1">
        <f t="array" ref="P5">IF(O5&lt;0,1,IF(E5&lt;0, _xlfn.LET(_xlpm.v_cant, ABS(E5), _xlpm.v_fecha, B5, _xlpm.v_ticker, D5, _xlpm.rango_f, B6:B$1000, _xlpm.rango_t, E6:E$1000, _xlpm.filtro, D6:D$1000=_xlpm.v_ticker, _xlpm.c_fechas, _xlfn._xlws.FILTER(_xlpm.rango_f, _xlpm.filtro*(_xlpm.rango_t&gt;0), _xlpm.v_fecha), _xlpm.c_cants, _xlfn._xlws.FILTER(_xlpm.rango_t, _xlpm.filtro*(_xlpm.rango_t&gt;0), 0), _xlpm.v_acums_pasadas, ABS(SUMIFS(E6:E$1000, D6:D$1000, _xlpm.v_ticker, E6:E$1000,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" spans="1:16" x14ac:dyDescent="0.45">
      <c r="A6" s="3" t="s">
        <v>88</v>
      </c>
      <c r="B6" s="4">
        <f t="shared" si="0"/>
        <v>46101</v>
      </c>
      <c r="C6" s="3" t="s">
        <v>91</v>
      </c>
      <c r="D6" s="3" t="s">
        <v>109</v>
      </c>
      <c r="E6" s="3">
        <v>-2</v>
      </c>
      <c r="F6" s="3">
        <v>14.1214</v>
      </c>
      <c r="G6" s="3">
        <v>28.24</v>
      </c>
      <c r="H6" s="5">
        <v>17.899799999999999</v>
      </c>
      <c r="I6" s="8">
        <f>SUMIF(D6:D$1000,D6,E6:E$1000)</f>
        <v>9.2620000000098734E-5</v>
      </c>
      <c r="J6" s="9" cm="1">
        <f t="array" ref="J6">IF(I6&gt;IFERROR(_xlfn.XLOOKUP(D6,D7:D$1000,I7:I$1000,,0,1),0),(IFERROR(_xlfn.XLOOKUP(D6,D7:D$1000,J7:J$1000,,0,1),0)*IFERROR(_xlfn.XLOOKUP(D6,D7:D$1000,I7:I$1000,,0,1),0)-G6*H6)/I6,_xlfn.XLOOKUP(D6,D7:D$1000,J7:J$1000,,0,1))</f>
        <v>178.69599081786961</v>
      </c>
      <c r="K6" s="10" cm="1">
        <f t="array" ref="K6">IFERROR(IF(I6&lt;_xlfn.XLOOKUP(D6,D7:D$1000,I7:I$1000,,0,1),G6*H6-_xlfn.XLOOKUP(D6,D7:D$1000,J7:J$1000,,0,1)*-E6,0),0)</f>
        <v>148.09837036426075</v>
      </c>
      <c r="L6" s="56">
        <v>145.54400000000001</v>
      </c>
      <c r="M6" s="56">
        <v>144.30699999999999</v>
      </c>
      <c r="N6" s="59" cm="1">
        <f t="array" ref="N6">IF(I6&gt;_xlfn.XLOOKUP(D6,D7:D$1000,I7:I$1000,0,0,1),(_xlfn.XLOOKUP(D6,D7:D$1000,N7:N$1000,0,0,1)*MAX(1,L6/_xlfn.XLOOKUP(D6,D7:D$1000,L7:L$1000,L6,0,1))*_xlfn.XLOOKUP(D6,D7:D$1000,I7:I$1000,0,0,1)-G6*H6)/I6,_xlfn.XLOOKUP(D6,D7:D$1000,N7:N$1000,,0,1)*MAX(1,L6/_xlfn.XLOOKUP(D6,D7:D$1000,L7:L$1000,,0,1)))</f>
        <v>188.53438073198075</v>
      </c>
      <c r="O6" s="59" cm="1">
        <f t="array" ref="O6">IFERROR(IF(I6&lt;_xlfn.XLOOKUP(D6,D7:D$1000,I7:I$1000,,0,1),G6*H6-_xlfn.XLOOKUP(D6,D7:D$1000,N7:N$1000,,0,1)*-E6*MAX(1,M6/IFERROR(_xlfn.XLOOKUP(D6,D7:D$1000,L7:L$1000,,0,1),M6)),0),0)</f>
        <v>128.42159053603848</v>
      </c>
      <c r="P6" s="56" cm="1">
        <f t="array" ref="P6">IF(O6&lt;0,1,IF(E6&lt;0, _xlfn.LET(_xlpm.v_cant, ABS(E6), _xlpm.v_fecha, B6, _xlpm.v_ticker, D6, _xlpm.rango_f, B7:B$1000, _xlpm.rango_t, E7:E$1000, _xlpm.filtro, D7:D$1000=_xlpm.v_ticker, _xlpm.c_fechas, _xlfn._xlws.FILTER(_xlpm.rango_f, _xlpm.filtro*(_xlpm.rango_t&gt;0), _xlpm.v_fecha), _xlpm.c_cants, _xlfn._xlws.FILTER(_xlpm.rango_t, _xlpm.filtro*(_xlpm.rango_t&gt;0), 0), _xlpm.v_acums_pasadas, ABS(SUMIFS(E7:E$1000, D7:D$1000, _xlpm.v_ticker, E7:E$1000,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7" spans="1:16" x14ac:dyDescent="0.45">
      <c r="A7" s="3" t="s">
        <v>88</v>
      </c>
      <c r="B7" s="4">
        <f t="shared" si="0"/>
        <v>46101</v>
      </c>
      <c r="C7" s="3" t="s">
        <v>91</v>
      </c>
      <c r="D7" s="3" t="s">
        <v>109</v>
      </c>
      <c r="E7" s="3">
        <v>-9.2200000000000004E-2</v>
      </c>
      <c r="F7" s="3">
        <v>14.1214</v>
      </c>
      <c r="G7" s="3">
        <v>1.23</v>
      </c>
      <c r="H7" s="5">
        <v>17.899799999999999</v>
      </c>
      <c r="I7" s="8">
        <f>SUMIF(D7:D$1000,D7,E7:E$1000)</f>
        <v>2.0000926200000002</v>
      </c>
      <c r="J7" s="9" cm="1">
        <f t="array" ref="J7">IF(I7&gt;IFERROR(_xlfn.XLOOKUP(D7,D8:D$1000,I8:I$1000,,0,1),0),(IFERROR(_xlfn.XLOOKUP(D7,D8:D$1000,J8:J$1000,,0,1),0)*IFERROR(_xlfn.XLOOKUP(D7,D8:D$1000,I8:I$1000,,0,1),0)-G7*H7)/I7,_xlfn.XLOOKUP(D7,D8:D$1000,J8:J$1000,,0,1))</f>
        <v>178.69599081786961</v>
      </c>
      <c r="K7" s="10" cm="1">
        <f t="array" ref="K7">IFERROR(IF(I7&lt;_xlfn.XLOOKUP(D7,D8:D$1000,I8:I$1000,,0,1),G7*H7-_xlfn.XLOOKUP(D7,D8:D$1000,J8:J$1000,,0,1)*-E7,0),0)</f>
        <v>5.5409836465924194</v>
      </c>
      <c r="L7" s="56">
        <v>145.54400000000001</v>
      </c>
      <c r="M7" s="56">
        <v>144.30699999999999</v>
      </c>
      <c r="N7" s="59" cm="1">
        <f t="array" ref="N7">IF(I7&gt;_xlfn.XLOOKUP(D7,D8:D$1000,I8:I$1000,0,0,1),(_xlfn.XLOOKUP(D7,D8:D$1000,N8:N$1000,0,0,1)*MAX(1,L7/_xlfn.XLOOKUP(D7,D8:D$1000,L8:L$1000,L7,0,1))*_xlfn.XLOOKUP(D7,D8:D$1000,I8:I$1000,0,0,1)-G7*H7)/I7,_xlfn.XLOOKUP(D7,D8:D$1000,N8:N$1000,,0,1)*MAX(1,L7/_xlfn.XLOOKUP(D7,D8:D$1000,L8:L$1000,,0,1)))</f>
        <v>188.53438073198075</v>
      </c>
      <c r="O7" s="59" cm="1">
        <f t="array" ref="O7">IFERROR(IF(I7&lt;_xlfn.XLOOKUP(D7,D8:D$1000,I8:I$1000,,0,1),G7*H7-_xlfn.XLOOKUP(D7,D8:D$1000,N8:N$1000,,0,1)*-E7*MAX(1,M7/IFERROR(_xlfn.XLOOKUP(D7,D8:D$1000,L8:L$1000,,0,1),M7)),0),0)</f>
        <v>4.7816236809024595</v>
      </c>
      <c r="P7" s="56" cm="1">
        <f t="array" ref="P7">IF(O7&lt;0,1,IF(E7&lt;0, _xlfn.LET(_xlpm.v_cant, ABS(E7), _xlpm.v_fecha, B7, _xlpm.v_ticker, D7, _xlpm.rango_f, B8:B$1000, _xlpm.rango_t, E8:E$1000, _xlpm.filtro, D8:D$1000=_xlpm.v_ticker, _xlpm.c_fechas, _xlfn._xlws.FILTER(_xlpm.rango_f, _xlpm.filtro*(_xlpm.rango_t&gt;0), _xlpm.v_fecha), _xlpm.c_cants, _xlfn._xlws.FILTER(_xlpm.rango_t, _xlpm.filtro*(_xlpm.rango_t&gt;0), 0), _xlpm.v_acums_pasadas, ABS(SUMIFS(E8:E$1000, D8:D$1000, _xlpm.v_ticker, E8:E$1000,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8" spans="1:16" x14ac:dyDescent="0.45">
      <c r="A8" s="3" t="s">
        <v>87</v>
      </c>
      <c r="B8" s="4">
        <f t="shared" si="0"/>
        <v>46090</v>
      </c>
      <c r="C8" s="3" t="s">
        <v>90</v>
      </c>
      <c r="D8" s="3" t="s">
        <v>208</v>
      </c>
      <c r="E8" s="3">
        <v>0.11331719</v>
      </c>
      <c r="F8" s="3">
        <v>132.0188</v>
      </c>
      <c r="G8" s="3">
        <v>-14.99</v>
      </c>
      <c r="H8" s="5">
        <v>17.768699999999999</v>
      </c>
      <c r="I8" s="8">
        <f>SUMIF(D8:D$1000,D8,E8:E$1000)</f>
        <v>0.22828975000000001</v>
      </c>
      <c r="J8" s="9" cm="1">
        <f t="array" ref="J8">IF(I8&gt;IFERROR(_xlfn.XLOOKUP(D8,D9:D$1000,I9:I$1000,,0,1),0),(IFERROR(_xlfn.XLOOKUP(D8,D9:D$1000,J9:J$1000,,0,1),0)*IFERROR(_xlfn.XLOOKUP(D8,D9:D$1000,I9:I$1000,,0,1),0)-G8*H8)/I8,_xlfn.XLOOKUP(D8,D9:D$1000,J9:J$1000,,0,1))</f>
        <v>2297.1384304376343</v>
      </c>
      <c r="K8" s="10" cm="1">
        <f t="array" ref="K8">IFERROR(IF(I8&lt;_xlfn.XLOOKUP(D8,D9:D$1000,I9:I$1000,,0,1),G8*H8-_xlfn.XLOOKUP(D8,D9:D$1000,J9:J$1000,,0,1)*-E8,0),0)</f>
        <v>0</v>
      </c>
      <c r="L8" s="56">
        <v>145.54400000000001</v>
      </c>
      <c r="M8" s="56">
        <v>144.30699999999999</v>
      </c>
      <c r="N8" s="59" cm="1">
        <f t="array" ref="N8">IF(I8&gt;_xlfn.XLOOKUP(D8,D9:D$1000,I9:I$1000,0,0,1),(_xlfn.XLOOKUP(D8,D9:D$1000,N9:N$1000,0,0,1)*MAX(1,L8/_xlfn.XLOOKUP(D8,D9:D$1000,L9:L$1000,L8,0,1))*_xlfn.XLOOKUP(D8,D9:D$1000,I9:I$1000,0,0,1)-G8*H8)/I8,_xlfn.XLOOKUP(D8,D9:D$1000,N9:N$1000,,0,1)*MAX(1,L8/_xlfn.XLOOKUP(D8,D9:D$1000,L9:L$1000,,0,1)))</f>
        <v>2306.8282828532433</v>
      </c>
      <c r="O8" s="59" cm="1">
        <f t="array" ref="O8">IFERROR(IF(I8&lt;_xlfn.XLOOKUP(D8,D9:D$1000,I9:I$1000,,0,1),G8*H8-_xlfn.XLOOKUP(D8,D9:D$1000,N9:N$1000,,0,1)*-E8*MAX(1,M8/IFERROR(_xlfn.XLOOKUP(D8,D9:D$1000,L9:L$1000,,0,1),M8)),0),0)</f>
        <v>0</v>
      </c>
      <c r="P8" s="56" t="str" cm="1">
        <f t="array" ref="P8">IF(O8&lt;0,1,IF(E8&lt;0, _xlfn.LET(_xlpm.v_cant, ABS(E8), _xlpm.v_fecha, B8, _xlpm.v_ticker, D8, _xlpm.rango_f, B9:B$1000, _xlpm.rango_t, E9:E$1000, _xlpm.filtro, D9:D$1000=_xlpm.v_ticker, _xlpm.c_fechas, _xlfn._xlws.FILTER(_xlpm.rango_f, _xlpm.filtro*(_xlpm.rango_t&gt;0), _xlpm.v_fecha), _xlpm.c_cants, _xlfn._xlws.FILTER(_xlpm.rango_t, _xlpm.filtro*(_xlpm.rango_t&gt;0), 0), _xlpm.v_acums_pasadas, ABS(SUMIFS(E9:E$1000, D9:D$1000, _xlpm.v_ticker, E9:E$1000,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" spans="1:16" x14ac:dyDescent="0.45">
      <c r="A9" s="3" t="s">
        <v>86</v>
      </c>
      <c r="B9" s="4">
        <f t="shared" si="0"/>
        <v>46085</v>
      </c>
      <c r="C9" s="3" t="s">
        <v>90</v>
      </c>
      <c r="D9" s="3" t="s">
        <v>204</v>
      </c>
      <c r="E9" s="3">
        <v>0.28153967000000002</v>
      </c>
      <c r="F9" s="3">
        <v>88.5488</v>
      </c>
      <c r="G9" s="3">
        <v>-24.99</v>
      </c>
      <c r="H9" s="5">
        <v>17.544499999999999</v>
      </c>
      <c r="I9" s="8">
        <f>SUMIF(D9:D$1000,D9,E9:E$1000)</f>
        <v>0.28153967000000002</v>
      </c>
      <c r="J9" s="9" cm="1">
        <f t="array" ref="J9">IF(I9&gt;IFERROR(_xlfn.XLOOKUP(D9,D10:D$1000,I10:I$1000,,0,1),0),(IFERROR(_xlfn.XLOOKUP(D9,D10:D$1000,J10:J$1000,,0,1),0)*IFERROR(_xlfn.XLOOKUP(D9,D10:D$1000,I10:I$1000,,0,1),0)-G9*H9)/I9,_xlfn.XLOOKUP(D9,D10:D$1000,J10:J$1000,,0,1))</f>
        <v>1557.2834016605898</v>
      </c>
      <c r="K9" s="10" cm="1">
        <f t="array" ref="K9">IFERROR(IF(I9&lt;_xlfn.XLOOKUP(D9,D10:D$1000,I10:I$1000,,0,1),G9*H9-_xlfn.XLOOKUP(D9,D10:D$1000,J10:J$1000,,0,1)*-E9,0),0)</f>
        <v>0</v>
      </c>
      <c r="L9" s="56">
        <v>145.54400000000001</v>
      </c>
      <c r="M9" s="56">
        <v>144.30699999999999</v>
      </c>
      <c r="N9" s="59" cm="1">
        <f t="array" ref="N9">IF(I9&gt;_xlfn.XLOOKUP(D9,D10:D$1000,I10:I$1000,0,0,1),(_xlfn.XLOOKUP(D9,D10:D$1000,N10:N$1000,0,0,1)*MAX(1,L9/_xlfn.XLOOKUP(D9,D10:D$1000,L10:L$1000,L9,0,1))*_xlfn.XLOOKUP(D9,D10:D$1000,I10:I$1000,0,0,1)-G9*H9)/I9,_xlfn.XLOOKUP(D9,D10:D$1000,N10:N$1000,,0,1)*MAX(1,L9/_xlfn.XLOOKUP(D9,D10:D$1000,L10:L$1000,,0,1)))</f>
        <v>1557.2834016605898</v>
      </c>
      <c r="O9" s="59" cm="1">
        <f t="array" ref="O9">IFERROR(IF(I9&lt;_xlfn.XLOOKUP(D9,D10:D$1000,I10:I$1000,,0,1),G9*H9-_xlfn.XLOOKUP(D9,D10:D$1000,N10:N$1000,,0,1)*-E9*MAX(1,M9/IFERROR(_xlfn.XLOOKUP(D9,D10:D$1000,L10:L$1000,,0,1),M9)),0),0)</f>
        <v>0</v>
      </c>
      <c r="P9" s="56" t="str" cm="1">
        <f t="array" ref="P9">IF(O9&lt;0,1,IF(E9&lt;0, _xlfn.LET(_xlpm.v_cant, ABS(E9), _xlpm.v_fecha, B9, _xlpm.v_ticker, D9, _xlpm.rango_f, B10:B$1000, _xlpm.rango_t, E10:E$1000, _xlpm.filtro, D10:D$1000=_xlpm.v_ticker, _xlpm.c_fechas, _xlfn._xlws.FILTER(_xlpm.rango_f, _xlpm.filtro*(_xlpm.rango_t&gt;0), _xlpm.v_fecha), _xlpm.c_cants, _xlfn._xlws.FILTER(_xlpm.rango_t, _xlpm.filtro*(_xlpm.rango_t&gt;0), 0), _xlpm.v_acums_pasadas, ABS(SUMIFS(E10:E$1000, D10:D$1000, _xlpm.v_ticker, E10:E$1000,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" spans="1:16" x14ac:dyDescent="0.45">
      <c r="A10" s="3" t="s">
        <v>86</v>
      </c>
      <c r="B10" s="4">
        <f t="shared" si="0"/>
        <v>46085</v>
      </c>
      <c r="C10" s="3" t="s">
        <v>90</v>
      </c>
      <c r="D10" s="3" t="s">
        <v>211</v>
      </c>
      <c r="E10" s="3">
        <v>0.33868232999999998</v>
      </c>
      <c r="F10" s="3">
        <v>73.608800000000002</v>
      </c>
      <c r="G10" s="3">
        <v>-24.99</v>
      </c>
      <c r="H10" s="5">
        <v>17.544499999999999</v>
      </c>
      <c r="I10" s="8">
        <f>SUMIF(D10:D$1000,D10,E10:E$1000)</f>
        <v>0.33868232999999998</v>
      </c>
      <c r="J10" s="9" cm="1">
        <f t="array" ref="J10">IF(I10&gt;IFERROR(_xlfn.XLOOKUP(D10,D11:D$1000,I11:I$1000,,0,1),0),(IFERROR(_xlfn.XLOOKUP(D10,D11:D$1000,J11:J$1000,,0,1),0)*IFERROR(_xlfn.XLOOKUP(D10,D11:D$1000,I11:I$1000,,0,1),0)-G10*H10)/I10,_xlfn.XLOOKUP(D10,D11:D$1000,J11:J$1000,,0,1))</f>
        <v>1294.537730976399</v>
      </c>
      <c r="K10" s="10" cm="1">
        <f t="array" ref="K10">IFERROR(IF(I10&lt;_xlfn.XLOOKUP(D10,D11:D$1000,I11:I$1000,,0,1),G10*H10-_xlfn.XLOOKUP(D10,D11:D$1000,J11:J$1000,,0,1)*-E10,0),0)</f>
        <v>0</v>
      </c>
      <c r="L10" s="56">
        <v>145.54400000000001</v>
      </c>
      <c r="M10" s="56">
        <v>144.30699999999999</v>
      </c>
      <c r="N10" s="59" cm="1">
        <f t="array" ref="N10">IF(I10&gt;_xlfn.XLOOKUP(D10,D11:D$1000,I11:I$1000,0,0,1),(_xlfn.XLOOKUP(D10,D11:D$1000,N11:N$1000,0,0,1)*MAX(1,L10/_xlfn.XLOOKUP(D10,D11:D$1000,L11:L$1000,L10,0,1))*_xlfn.XLOOKUP(D10,D11:D$1000,I11:I$1000,0,0,1)-G10*H10)/I10,_xlfn.XLOOKUP(D10,D11:D$1000,N11:N$1000,,0,1)*MAX(1,L10/_xlfn.XLOOKUP(D10,D11:D$1000,L11:L$1000,,0,1)))</f>
        <v>1294.537730976399</v>
      </c>
      <c r="O10" s="59" cm="1">
        <f t="array" ref="O10">IFERROR(IF(I10&lt;_xlfn.XLOOKUP(D10,D11:D$1000,I11:I$1000,,0,1),G10*H10-_xlfn.XLOOKUP(D10,D11:D$1000,N11:N$1000,,0,1)*-E10*MAX(1,M10/IFERROR(_xlfn.XLOOKUP(D10,D11:D$1000,L11:L$1000,,0,1),M10)),0),0)</f>
        <v>0</v>
      </c>
      <c r="P10" s="56" t="str" cm="1">
        <f t="array" ref="P10">IF(O10&lt;0,1,IF(E10&lt;0, _xlfn.LET(_xlpm.v_cant, ABS(E10), _xlpm.v_fecha, B10, _xlpm.v_ticker, D10, _xlpm.rango_f, B11:B$1000, _xlpm.rango_t, E11:E$1000, _xlpm.filtro, D11:D$1000=_xlpm.v_ticker, _xlpm.c_fechas, _xlfn._xlws.FILTER(_xlpm.rango_f, _xlpm.filtro*(_xlpm.rango_t&gt;0), _xlpm.v_fecha), _xlpm.c_cants, _xlfn._xlws.FILTER(_xlpm.rango_t, _xlpm.filtro*(_xlpm.rango_t&gt;0), 0), _xlpm.v_acums_pasadas, ABS(SUMIFS(E11:E$1000, D11:D$1000, _xlpm.v_ticker, E11:E$1000,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" spans="1:16" x14ac:dyDescent="0.45">
      <c r="A11" s="3" t="s">
        <v>80</v>
      </c>
      <c r="B11" s="4">
        <f t="shared" si="0"/>
        <v>46073</v>
      </c>
      <c r="C11" s="3" t="s">
        <v>91</v>
      </c>
      <c r="D11" s="3" t="s">
        <v>131</v>
      </c>
      <c r="E11" s="3">
        <v>-0.53610000000000002</v>
      </c>
      <c r="F11" s="3">
        <v>66.731200000000001</v>
      </c>
      <c r="G11" s="3">
        <v>35.69</v>
      </c>
      <c r="H11" s="5">
        <v>17.1722</v>
      </c>
      <c r="I11" s="8">
        <f>SUMIF(D11:D$1000,D11,E11:E$1000)</f>
        <v>4.5930000000027338E-5</v>
      </c>
      <c r="J11" s="9" cm="1">
        <f t="array" ref="J11">IF(I11&gt;IFERROR(_xlfn.XLOOKUP(D11,D12:D$1000,I12:I$1000,,0,1),0),(IFERROR(_xlfn.XLOOKUP(D11,D12:D$1000,J12:J$1000,,0,1),0)*IFERROR(_xlfn.XLOOKUP(D11,D12:D$1000,I12:I$1000,,0,1),0)-G11*H11)/I11,_xlfn.XLOOKUP(D11,D12:D$1000,J12:J$1000,,0,1))</f>
        <v>416.72507138319907</v>
      </c>
      <c r="K11" s="10" cm="1">
        <f t="array" ref="K11">IFERROR(IF(I11&lt;_xlfn.XLOOKUP(D11,D12:D$1000,I12:I$1000,,0,1),G11*H11-_xlfn.XLOOKUP(D11,D12:D$1000,J12:J$1000,,0,1)*-E11,0),0)</f>
        <v>389.46950723146699</v>
      </c>
      <c r="L11" s="56">
        <v>144.30699999999999</v>
      </c>
      <c r="M11" s="56">
        <v>143.58799999999999</v>
      </c>
      <c r="N11" s="59" cm="1">
        <f t="array" ref="N11">IF(I11&gt;_xlfn.XLOOKUP(D11,D12:D$1000,I12:I$1000,0,0,1),(_xlfn.XLOOKUP(D11,D12:D$1000,N12:N$1000,0,0,1)*MAX(1,L11/_xlfn.XLOOKUP(D11,D12:D$1000,L12:L$1000,L11,0,1))*_xlfn.XLOOKUP(D11,D12:D$1000,I12:I$1000,0,0,1)-G11*H11)/I11,_xlfn.XLOOKUP(D11,D12:D$1000,N12:N$1000,,0,1)*MAX(1,L11/_xlfn.XLOOKUP(D11,D12:D$1000,L12:L$1000,,0,1)))</f>
        <v>432.13504412942785</v>
      </c>
      <c r="O11" s="59" cm="1">
        <f t="array" ref="O11">IFERROR(IF(I11&lt;_xlfn.XLOOKUP(D11,D12:D$1000,I12:I$1000,,0,1),G11*H11-_xlfn.XLOOKUP(D11,D12:D$1000,N12:N$1000,,0,1)*-E11*MAX(1,M11/IFERROR(_xlfn.XLOOKUP(D11,D12:D$1000,L12:L$1000,,0,1),M11)),0),0)</f>
        <v>381.20822084221368</v>
      </c>
      <c r="P11" s="56" cm="1">
        <f t="array" ref="P11">IF(O11&lt;0,1,IF(E11&lt;0, _xlfn.LET(_xlpm.v_cant, ABS(E11), _xlpm.v_fecha, B11, _xlpm.v_ticker, D11, _xlpm.rango_f, B12:B$1000, _xlpm.rango_t, E12:E$1000, _xlpm.filtro, D12:D$1000=_xlpm.v_ticker, _xlpm.c_fechas, _xlfn._xlws.FILTER(_xlpm.rango_f, _xlpm.filtro*(_xlpm.rango_t&gt;0), _xlpm.v_fecha), _xlpm.c_cants, _xlfn._xlws.FILTER(_xlpm.rango_t, _xlpm.filtro*(_xlpm.rango_t&gt;0), 0), _xlpm.v_acums_pasadas, ABS(SUMIFS(E12:E$1000, D12:D$1000, _xlpm.v_ticker, E12:E$1000,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2" spans="1:16" x14ac:dyDescent="0.45">
      <c r="A12" s="3" t="s">
        <v>79</v>
      </c>
      <c r="B12" s="4">
        <f t="shared" si="0"/>
        <v>46065</v>
      </c>
      <c r="C12" s="3" t="s">
        <v>90</v>
      </c>
      <c r="D12" s="3" t="s">
        <v>193</v>
      </c>
      <c r="E12" s="3">
        <v>7.6598730000000004E-2</v>
      </c>
      <c r="F12" s="3">
        <v>130.15880000000001</v>
      </c>
      <c r="G12" s="3">
        <v>-9.99</v>
      </c>
      <c r="H12" s="5">
        <v>17.2</v>
      </c>
      <c r="I12" s="8">
        <f>SUMIF(D12:D$1000,D12,E12:E$1000)</f>
        <v>0.22725131000000001</v>
      </c>
      <c r="J12" s="9" cm="1">
        <f t="array" ref="J12">IF(I12&gt;IFERROR(_xlfn.XLOOKUP(D12,D13:D$1000,I13:I$1000,,0,1),0),(IFERROR(_xlfn.XLOOKUP(D12,D13:D$1000,J13:J$1000,,0,1),0)*IFERROR(_xlfn.XLOOKUP(D12,D13:D$1000,I13:I$1000,,0,1),0)-G12*H12)/I12,_xlfn.XLOOKUP(D12,D13:D$1000,J13:J$1000,,0,1))</f>
        <v>3200.24571915559</v>
      </c>
      <c r="K12" s="10" cm="1">
        <f t="array" ref="K12">IFERROR(IF(I12&lt;_xlfn.XLOOKUP(D12,D13:D$1000,I13:I$1000,,0,1),G12*H12-_xlfn.XLOOKUP(D12,D13:D$1000,J13:J$1000,,0,1)*-E12,0),0)</f>
        <v>0</v>
      </c>
      <c r="L12" s="56">
        <v>144.30699999999999</v>
      </c>
      <c r="M12" s="56">
        <v>143.58799999999999</v>
      </c>
      <c r="N12" s="59" cm="1">
        <f t="array" ref="N12">IF(I12&gt;_xlfn.XLOOKUP(D12,D13:D$1000,I13:I$1000,0,0,1),(_xlfn.XLOOKUP(D12,D13:D$1000,N13:N$1000,0,0,1)*MAX(1,L12/_xlfn.XLOOKUP(D12,D13:D$1000,L13:L$1000,L12,0,1))*_xlfn.XLOOKUP(D12,D13:D$1000,I13:I$1000,0,0,1)-G12*H12)/I12,_xlfn.XLOOKUP(D12,D13:D$1000,N13:N$1000,,0,1)*MAX(1,L12/_xlfn.XLOOKUP(D12,D13:D$1000,L13:L$1000,,0,1)))</f>
        <v>3228.7230311119538</v>
      </c>
      <c r="O12" s="59" cm="1">
        <f t="array" ref="O12">IFERROR(IF(I12&lt;_xlfn.XLOOKUP(D12,D13:D$1000,I13:I$1000,,0,1),G12*H12-_xlfn.XLOOKUP(D12,D13:D$1000,N13:N$1000,,0,1)*-E12*MAX(1,M12/IFERROR(_xlfn.XLOOKUP(D12,D13:D$1000,L13:L$1000,,0,1),M12)),0),0)</f>
        <v>0</v>
      </c>
      <c r="P12" s="56" t="str" cm="1">
        <f t="array" ref="P12">IF(O12&lt;0,1,IF(E12&lt;0, _xlfn.LET(_xlpm.v_cant, ABS(E12), _xlpm.v_fecha, B12, _xlpm.v_ticker, D12, _xlpm.rango_f, B13:B$1000, _xlpm.rango_t, E13:E$1000, _xlpm.filtro, D13:D$1000=_xlpm.v_ticker, _xlpm.c_fechas, _xlfn._xlws.FILTER(_xlpm.rango_f, _xlpm.filtro*(_xlpm.rango_t&gt;0), _xlpm.v_fecha), _xlpm.c_cants, _xlfn._xlws.FILTER(_xlpm.rango_t, _xlpm.filtro*(_xlpm.rango_t&gt;0), 0), _xlpm.v_acums_pasadas, ABS(SUMIFS(E13:E$1000, D13:D$1000, _xlpm.v_ticker, E13:E$1000,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" spans="1:16" x14ac:dyDescent="0.45">
      <c r="A13" s="3" t="s">
        <v>78</v>
      </c>
      <c r="B13" s="4">
        <f t="shared" si="0"/>
        <v>46064</v>
      </c>
      <c r="C13" s="3" t="s">
        <v>91</v>
      </c>
      <c r="D13" s="3" t="s">
        <v>188</v>
      </c>
      <c r="E13" s="3">
        <v>-1.0699999999999999E-2</v>
      </c>
      <c r="F13" s="3">
        <v>2026.1512</v>
      </c>
      <c r="G13" s="3">
        <v>21.63</v>
      </c>
      <c r="H13" s="5">
        <v>17.215499999999999</v>
      </c>
      <c r="I13" s="8">
        <f>SUMIF(D13:D$1000,D13,E13:E$1000)</f>
        <v>7.0500000000000684E-5</v>
      </c>
      <c r="J13" s="9" cm="1">
        <f t="array" ref="J13">IF(I13&gt;IFERROR(_xlfn.XLOOKUP(D13,D14:D$1000,I14:I$1000,,0,1),0),(IFERROR(_xlfn.XLOOKUP(D13,D14:D$1000,J14:J$1000,,0,1),0)*IFERROR(_xlfn.XLOOKUP(D13,D14:D$1000,I14:I$1000,,0,1),0)-G13*H13)/I13,_xlfn.XLOOKUP(D13,D14:D$1000,J14:J$1000,,0,1))</f>
        <v>46440.586138062296</v>
      </c>
      <c r="K13" s="10" cm="1">
        <f t="array" ref="K13">IFERROR(IF(I13&lt;_xlfn.XLOOKUP(D13,D14:D$1000,I14:I$1000,,0,1),G13*H13-_xlfn.XLOOKUP(D13,D14:D$1000,J14:J$1000,,0,1)*-E13,0),0)</f>
        <v>-124.54300667726659</v>
      </c>
      <c r="L13" s="56">
        <v>144.30699999999999</v>
      </c>
      <c r="M13" s="56">
        <v>143.58799999999999</v>
      </c>
      <c r="N13" s="59" cm="1">
        <f t="array" ref="N13">IF(I13&gt;_xlfn.XLOOKUP(D13,D14:D$1000,I14:I$1000,0,0,1),(_xlfn.XLOOKUP(D13,D14:D$1000,N14:N$1000,0,0,1)*MAX(1,L13/_xlfn.XLOOKUP(D13,D14:D$1000,L14:L$1000,L13,0,1))*_xlfn.XLOOKUP(D13,D14:D$1000,I14:I$1000,0,0,1)-G13*H13)/I13,_xlfn.XLOOKUP(D13,D14:D$1000,N14:N$1000,,0,1)*MAX(1,L13/_xlfn.XLOOKUP(D13,D14:D$1000,L14:L$1000,,0,1)))</f>
        <v>47690.261113659311</v>
      </c>
      <c r="O13" s="59" cm="1">
        <f t="array" ref="O13">IFERROR(IF(I13&lt;_xlfn.XLOOKUP(D13,D14:D$1000,I14:I$1000,,0,1),G13*H13-_xlfn.XLOOKUP(D13,D14:D$1000,N14:N$1000,,0,1)*-E13*MAX(1,M13/IFERROR(_xlfn.XLOOKUP(D13,D14:D$1000,L14:L$1000,,0,1),M13)),0),0)</f>
        <v>-135.37206399189103</v>
      </c>
      <c r="P13" s="56" cm="1">
        <f t="array" ref="P13">IF(O13&lt;0,1,IF(E13&lt;0, _xlfn.LET(_xlpm.v_cant, ABS(E13), _xlpm.v_fecha, B13, _xlpm.v_ticker, D13, _xlpm.rango_f, B14:B$1000, _xlpm.rango_t, E14:E$1000, _xlpm.filtro, D14:D$1000=_xlpm.v_ticker, _xlpm.c_fechas, _xlfn._xlws.FILTER(_xlpm.rango_f, _xlpm.filtro*(_xlpm.rango_t&gt;0), _xlpm.v_fecha), _xlpm.c_cants, _xlfn._xlws.FILTER(_xlpm.rango_t, _xlpm.filtro*(_xlpm.rango_t&gt;0), 0), _xlpm.v_acums_pasadas, ABS(SUMIFS(E14:E$1000, D14:D$1000, _xlpm.v_ticker, E14:E$1000,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4" spans="1:16" x14ac:dyDescent="0.45">
      <c r="A14" s="3" t="s">
        <v>78</v>
      </c>
      <c r="B14" s="4">
        <f t="shared" si="0"/>
        <v>46064</v>
      </c>
      <c r="C14" s="3" t="s">
        <v>91</v>
      </c>
      <c r="D14" s="3" t="s">
        <v>95</v>
      </c>
      <c r="E14" s="3">
        <v>-0.22738407999999999</v>
      </c>
      <c r="F14" s="3">
        <v>110.21</v>
      </c>
      <c r="G14" s="3">
        <v>25</v>
      </c>
      <c r="H14" s="5">
        <v>17.215499999999999</v>
      </c>
      <c r="I14" s="8">
        <f>SUMIF(D14:D$1000,D14,E14:E$1000)</f>
        <v>0.46524071</v>
      </c>
      <c r="J14" s="9" cm="1">
        <f t="array" ref="J14">IF(I14&gt;IFERROR(_xlfn.XLOOKUP(D14,D15:D$1000,I15:I$1000,,0,1),0),(IFERROR(_xlfn.XLOOKUP(D14,D15:D$1000,J15:J$1000,,0,1),0)*IFERROR(_xlfn.XLOOKUP(D14,D15:D$1000,I15:I$1000,,0,1),0)-G14*H14)/I14,_xlfn.XLOOKUP(D14,D15:D$1000,J15:J$1000,,0,1))</f>
        <v>2174.8796992957759</v>
      </c>
      <c r="K14" s="10" cm="1">
        <f t="array" ref="K14">IFERROR(IF(I14&lt;_xlfn.XLOOKUP(D14,D15:D$1000,I15:I$1000,,0,1),G14*H14-_xlfn.XLOOKUP(D14,D15:D$1000,J15:J$1000,,0,1)*-E14,0),0)</f>
        <v>-64.145519535046617</v>
      </c>
      <c r="L14" s="56">
        <v>144.30699999999999</v>
      </c>
      <c r="M14" s="56">
        <v>143.58799999999999</v>
      </c>
      <c r="N14" s="59" cm="1">
        <f t="array" ref="N14">IF(I14&gt;_xlfn.XLOOKUP(D14,D15:D$1000,I15:I$1000,0,0,1),(_xlfn.XLOOKUP(D14,D15:D$1000,N15:N$1000,0,0,1)*MAX(1,L14/_xlfn.XLOOKUP(D14,D15:D$1000,L15:L$1000,L14,0,1))*_xlfn.XLOOKUP(D14,D15:D$1000,I15:I$1000,0,0,1)-G14*H14)/I14,_xlfn.XLOOKUP(D14,D15:D$1000,N15:N$1000,,0,1)*MAX(1,L14/_xlfn.XLOOKUP(D14,D15:D$1000,L15:L$1000,,0,1)))</f>
        <v>2286.0448272388544</v>
      </c>
      <c r="O14" s="59" cm="1">
        <f t="array" ref="O14">IFERROR(IF(I14&lt;_xlfn.XLOOKUP(D14,D15:D$1000,I15:I$1000,,0,1),G14*H14-_xlfn.XLOOKUP(D14,D15:D$1000,N15:N$1000,,0,1)*-E14*MAX(1,M14/IFERROR(_xlfn.XLOOKUP(D14,D15:D$1000,L15:L$1000,,0,1),M14)),0),0)</f>
        <v>-86.832780238909606</v>
      </c>
      <c r="P14" s="56" cm="1">
        <f t="array" ref="P14">IF(O14&lt;0,1,IF(E14&lt;0, _xlfn.LET(_xlpm.v_cant, ABS(E14), _xlpm.v_fecha, B14, _xlpm.v_ticker, D14, _xlpm.rango_f, B15:B$1000, _xlpm.rango_t, E15:E$1000, _xlpm.filtro, D15:D$1000=_xlpm.v_ticker, _xlpm.c_fechas, _xlfn._xlws.FILTER(_xlpm.rango_f, _xlpm.filtro*(_xlpm.rango_t&gt;0), _xlpm.v_fecha), _xlpm.c_cants, _xlfn._xlws.FILTER(_xlpm.rango_t, _xlpm.filtro*(_xlpm.rango_t&gt;0), 0), _xlpm.v_acums_pasadas, ABS(SUMIFS(E15:E$1000, D15:D$1000, _xlpm.v_ticker, E15:E$1000,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5" spans="1:16" x14ac:dyDescent="0.45">
      <c r="A15" s="3" t="s">
        <v>78</v>
      </c>
      <c r="B15" s="4">
        <f t="shared" si="0"/>
        <v>46064</v>
      </c>
      <c r="C15" s="3" t="s">
        <v>90</v>
      </c>
      <c r="D15" s="3" t="s">
        <v>208</v>
      </c>
      <c r="E15" s="3">
        <v>0.11497256</v>
      </c>
      <c r="F15" s="3">
        <v>130.11799999999999</v>
      </c>
      <c r="G15" s="3">
        <v>-14.99</v>
      </c>
      <c r="H15" s="5">
        <v>17.215499999999999</v>
      </c>
      <c r="I15" s="8">
        <f>SUMIF(D15:D$1000,D15,E15:E$1000)</f>
        <v>0.11497256</v>
      </c>
      <c r="J15" s="9" cm="1">
        <f t="array" ref="J15">IF(I15&gt;IFERROR(_xlfn.XLOOKUP(D15,D16:D$1000,I16:I$1000,,0,1),0),(IFERROR(_xlfn.XLOOKUP(D15,D16:D$1000,J16:J$1000,,0,1),0)*IFERROR(_xlfn.XLOOKUP(D15,D16:D$1000,I16:I$1000,,0,1),0)-G15*H15)/I15,_xlfn.XLOOKUP(D15,D16:D$1000,J16:J$1000,,0,1))</f>
        <v>2244.5385664196742</v>
      </c>
      <c r="K15" s="10" cm="1">
        <f t="array" ref="K15">IFERROR(IF(I15&lt;_xlfn.XLOOKUP(D15,D16:D$1000,I16:I$1000,,0,1),G15*H15-_xlfn.XLOOKUP(D15,D16:D$1000,J16:J$1000,,0,1)*-E15,0),0)</f>
        <v>0</v>
      </c>
      <c r="L15" s="56">
        <v>144.30699999999999</v>
      </c>
      <c r="M15" s="56">
        <v>143.58799999999999</v>
      </c>
      <c r="N15" s="59" cm="1">
        <f t="array" ref="N15">IF(I15&gt;_xlfn.XLOOKUP(D15,D16:D$1000,I16:I$1000,0,0,1),(_xlfn.XLOOKUP(D15,D16:D$1000,N16:N$1000,0,0,1)*MAX(1,L15/_xlfn.XLOOKUP(D15,D16:D$1000,L16:L$1000,L15,0,1))*_xlfn.XLOOKUP(D15,D16:D$1000,I16:I$1000,0,0,1)-G15*H15)/I15,_xlfn.XLOOKUP(D15,D16:D$1000,N16:N$1000,,0,1)*MAX(1,L15/_xlfn.XLOOKUP(D15,D16:D$1000,L16:L$1000,,0,1)))</f>
        <v>2244.5385664196742</v>
      </c>
      <c r="O15" s="59" cm="1">
        <f t="array" ref="O15">IFERROR(IF(I15&lt;_xlfn.XLOOKUP(D15,D16:D$1000,I16:I$1000,,0,1),G15*H15-_xlfn.XLOOKUP(D15,D16:D$1000,N16:N$1000,,0,1)*-E15*MAX(1,M15/IFERROR(_xlfn.XLOOKUP(D15,D16:D$1000,L16:L$1000,,0,1),M15)),0),0)</f>
        <v>0</v>
      </c>
      <c r="P15" s="56" t="str" cm="1">
        <f t="array" ref="P15">IF(O15&lt;0,1,IF(E15&lt;0, _xlfn.LET(_xlpm.v_cant, ABS(E15), _xlpm.v_fecha, B15, _xlpm.v_ticker, D15, _xlpm.rango_f, B16:B$1000, _xlpm.rango_t, E16:E$1000, _xlpm.filtro, D16:D$1000=_xlpm.v_ticker, _xlpm.c_fechas, _xlfn._xlws.FILTER(_xlpm.rango_f, _xlpm.filtro*(_xlpm.rango_t&gt;0), _xlpm.v_fecha), _xlpm.c_cants, _xlfn._xlws.FILTER(_xlpm.rango_t, _xlpm.filtro*(_xlpm.rango_t&gt;0), 0), _xlpm.v_acums_pasadas, ABS(SUMIFS(E16:E$1000, D16:D$1000, _xlpm.v_ticker, E16:E$1000,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" spans="1:16" x14ac:dyDescent="0.45">
      <c r="A16" s="3" t="s">
        <v>78</v>
      </c>
      <c r="B16" s="4">
        <f t="shared" si="0"/>
        <v>46064</v>
      </c>
      <c r="C16" s="3" t="s">
        <v>90</v>
      </c>
      <c r="D16" s="3" t="s">
        <v>209</v>
      </c>
      <c r="E16" s="3">
        <v>0.24294075000000001</v>
      </c>
      <c r="F16" s="3">
        <v>61.578800000000001</v>
      </c>
      <c r="G16" s="3">
        <v>-14.99</v>
      </c>
      <c r="H16" s="5">
        <v>17.215499999999999</v>
      </c>
      <c r="I16" s="8">
        <f>SUMIF(D16:D$1000,D16,E16:E$1000)</f>
        <v>0.24294075000000001</v>
      </c>
      <c r="J16" s="9" cm="1">
        <f t="array" ref="J16">IF(I16&gt;IFERROR(_xlfn.XLOOKUP(D16,D17:D$1000,I17:I$1000,,0,1),0),(IFERROR(_xlfn.XLOOKUP(D16,D17:D$1000,J17:J$1000,,0,1),0)*IFERROR(_xlfn.XLOOKUP(D16,D17:D$1000,I17:I$1000,,0,1),0)-G16*H16)/I16,_xlfn.XLOOKUP(D16,D17:D$1000,J17:J$1000,,0,1))</f>
        <v>1062.2357303169599</v>
      </c>
      <c r="K16" s="10" cm="1">
        <f t="array" ref="K16">IFERROR(IF(I16&lt;_xlfn.XLOOKUP(D16,D17:D$1000,I17:I$1000,,0,1),G16*H16-_xlfn.XLOOKUP(D16,D17:D$1000,J17:J$1000,,0,1)*-E16,0),0)</f>
        <v>0</v>
      </c>
      <c r="L16" s="56">
        <v>144.30699999999999</v>
      </c>
      <c r="M16" s="56">
        <v>143.58799999999999</v>
      </c>
      <c r="N16" s="59" cm="1">
        <f t="array" ref="N16">IF(I16&gt;_xlfn.XLOOKUP(D16,D17:D$1000,I17:I$1000,0,0,1),(_xlfn.XLOOKUP(D16,D17:D$1000,N17:N$1000,0,0,1)*MAX(1,L16/_xlfn.XLOOKUP(D16,D17:D$1000,L17:L$1000,L16,0,1))*_xlfn.XLOOKUP(D16,D17:D$1000,I17:I$1000,0,0,1)-G16*H16)/I16,_xlfn.XLOOKUP(D16,D17:D$1000,N17:N$1000,,0,1)*MAX(1,L16/_xlfn.XLOOKUP(D16,D17:D$1000,L17:L$1000,,0,1)))</f>
        <v>1062.2357303169599</v>
      </c>
      <c r="O16" s="59" cm="1">
        <f t="array" ref="O16">IFERROR(IF(I16&lt;_xlfn.XLOOKUP(D16,D17:D$1000,I17:I$1000,,0,1),G16*H16-_xlfn.XLOOKUP(D16,D17:D$1000,N17:N$1000,,0,1)*-E16*MAX(1,M16/IFERROR(_xlfn.XLOOKUP(D16,D17:D$1000,L17:L$1000,,0,1),M16)),0),0)</f>
        <v>0</v>
      </c>
      <c r="P16" s="56" t="str" cm="1">
        <f t="array" ref="P16">IF(O16&lt;0,1,IF(E16&lt;0, _xlfn.LET(_xlpm.v_cant, ABS(E16), _xlpm.v_fecha, B16, _xlpm.v_ticker, D16, _xlpm.rango_f, B17:B$1000, _xlpm.rango_t, E17:E$1000, _xlpm.filtro, D17:D$1000=_xlpm.v_ticker, _xlpm.c_fechas, _xlfn._xlws.FILTER(_xlpm.rango_f, _xlpm.filtro*(_xlpm.rango_t&gt;0), _xlpm.v_fecha), _xlpm.c_cants, _xlfn._xlws.FILTER(_xlpm.rango_t, _xlpm.filtro*(_xlpm.rango_t&gt;0), 0), _xlpm.v_acums_pasadas, ABS(SUMIFS(E17:E$1000, D17:D$1000, _xlpm.v_ticker, E17:E$1000,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" spans="1:16" x14ac:dyDescent="0.45">
      <c r="A17" s="3" t="s">
        <v>77</v>
      </c>
      <c r="B17" s="4">
        <f t="shared" si="0"/>
        <v>46062</v>
      </c>
      <c r="C17" s="3" t="s">
        <v>90</v>
      </c>
      <c r="D17" s="3" t="s">
        <v>205</v>
      </c>
      <c r="E17" s="3">
        <v>2</v>
      </c>
      <c r="F17" s="3">
        <v>8.6085999999999991</v>
      </c>
      <c r="G17" s="3">
        <v>-17.260000000000002</v>
      </c>
      <c r="H17" s="5">
        <v>17.1907</v>
      </c>
      <c r="I17" s="8">
        <f>SUMIF(D17:D$1000,D17,E17:E$1000)</f>
        <v>2</v>
      </c>
      <c r="J17" s="9" cm="1">
        <f t="array" ref="J17">IF(I17&gt;IFERROR(_xlfn.XLOOKUP(D17,D18:D$1000,I18:I$1000,,0,1),0),(IFERROR(_xlfn.XLOOKUP(D17,D18:D$1000,J18:J$1000,,0,1),0)*IFERROR(_xlfn.XLOOKUP(D17,D18:D$1000,I18:I$1000,,0,1),0)-G17*H17)/I17,_xlfn.XLOOKUP(D17,D18:D$1000,J18:J$1000,,0,1))</f>
        <v>148.35574100000002</v>
      </c>
      <c r="K17" s="10" cm="1">
        <f t="array" ref="K17">IFERROR(IF(I17&lt;_xlfn.XLOOKUP(D17,D18:D$1000,I18:I$1000,,0,1),G17*H17-_xlfn.XLOOKUP(D17,D18:D$1000,J18:J$1000,,0,1)*-E17,0),0)</f>
        <v>0</v>
      </c>
      <c r="L17" s="56">
        <v>144.30699999999999</v>
      </c>
      <c r="M17" s="56">
        <v>143.58799999999999</v>
      </c>
      <c r="N17" s="59" cm="1">
        <f t="array" ref="N17">IF(I17&gt;_xlfn.XLOOKUP(D17,D18:D$1000,I18:I$1000,0,0,1),(_xlfn.XLOOKUP(D17,D18:D$1000,N18:N$1000,0,0,1)*MAX(1,L17/_xlfn.XLOOKUP(D17,D18:D$1000,L18:L$1000,L17,0,1))*_xlfn.XLOOKUP(D17,D18:D$1000,I18:I$1000,0,0,1)-G17*H17)/I17,_xlfn.XLOOKUP(D17,D18:D$1000,N18:N$1000,,0,1)*MAX(1,L17/_xlfn.XLOOKUP(D17,D18:D$1000,L18:L$1000,,0,1)))</f>
        <v>148.35574100000002</v>
      </c>
      <c r="O17" s="59" cm="1">
        <f t="array" ref="O17">IFERROR(IF(I17&lt;_xlfn.XLOOKUP(D17,D18:D$1000,I18:I$1000,,0,1),G17*H17-_xlfn.XLOOKUP(D17,D18:D$1000,N18:N$1000,,0,1)*-E17*MAX(1,M17/IFERROR(_xlfn.XLOOKUP(D17,D18:D$1000,L18:L$1000,,0,1),M17)),0),0)</f>
        <v>0</v>
      </c>
      <c r="P17" s="56" t="str" cm="1">
        <f t="array" ref="P17">IF(O17&lt;0,1,IF(E17&lt;0, _xlfn.LET(_xlpm.v_cant, ABS(E17), _xlpm.v_fecha, B17, _xlpm.v_ticker, D17, _xlpm.rango_f, B18:B$1000, _xlpm.rango_t, E18:E$1000, _xlpm.filtro, D18:D$1000=_xlpm.v_ticker, _xlpm.c_fechas, _xlfn._xlws.FILTER(_xlpm.rango_f, _xlpm.filtro*(_xlpm.rango_t&gt;0), _xlpm.v_fecha), _xlpm.c_cants, _xlfn._xlws.FILTER(_xlpm.rango_t, _xlpm.filtro*(_xlpm.rango_t&gt;0), 0), _xlpm.v_acums_pasadas, ABS(SUMIFS(E18:E$1000, D18:D$1000, _xlpm.v_ticker, E18:E$1000,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" spans="1:16" x14ac:dyDescent="0.45">
      <c r="A18" s="3" t="s">
        <v>76</v>
      </c>
      <c r="B18" s="4">
        <f t="shared" si="0"/>
        <v>46059</v>
      </c>
      <c r="C18" s="3" t="s">
        <v>91</v>
      </c>
      <c r="D18" s="3" t="s">
        <v>106</v>
      </c>
      <c r="E18" s="3">
        <v>-1</v>
      </c>
      <c r="F18" s="3">
        <v>30.188500000000001</v>
      </c>
      <c r="G18" s="3">
        <v>30.12</v>
      </c>
      <c r="H18" s="5">
        <v>17.2988</v>
      </c>
      <c r="I18" s="8">
        <f>SUMIF(D18:D$1000,D18,E18:E$1000)</f>
        <v>2.5280601800000002</v>
      </c>
      <c r="J18" s="9" cm="1">
        <f t="array" ref="J18">IF(I18&gt;IFERROR(_xlfn.XLOOKUP(D18,D19:D$1000,I19:I$1000,,0,1),0),(IFERROR(_xlfn.XLOOKUP(D18,D19:D$1000,J19:J$1000,,0,1),0)*IFERROR(_xlfn.XLOOKUP(D18,D19:D$1000,I19:I$1000,,0,1),0)-G18*H18)/I18,_xlfn.XLOOKUP(D18,D19:D$1000,J19:J$1000,,0,1))</f>
        <v>395.60152287424978</v>
      </c>
      <c r="K18" s="10" cm="1">
        <f t="array" ref="K18">IFERROR(IF(I18&lt;_xlfn.XLOOKUP(D18,D19:D$1000,I19:I$1000,,0,1),G18*H18-_xlfn.XLOOKUP(D18,D19:D$1000,J19:J$1000,,0,1)*-E18,0),0)</f>
        <v>125.4383331257502</v>
      </c>
      <c r="L18" s="56">
        <v>144.30699999999999</v>
      </c>
      <c r="M18" s="56">
        <v>143.58799999999999</v>
      </c>
      <c r="N18" s="59" cm="1">
        <f t="array" ref="N18">IF(I18&gt;_xlfn.XLOOKUP(D18,D19:D$1000,I19:I$1000,0,0,1),(_xlfn.XLOOKUP(D18,D19:D$1000,N19:N$1000,0,0,1)*MAX(1,L18/_xlfn.XLOOKUP(D18,D19:D$1000,L19:L$1000,L18,0,1))*_xlfn.XLOOKUP(D18,D19:D$1000,I19:I$1000,0,0,1)-G18*H18)/I18,_xlfn.XLOOKUP(D18,D19:D$1000,N19:N$1000,,0,1)*MAX(1,L18/_xlfn.XLOOKUP(D18,D19:D$1000,L19:L$1000,,0,1)))</f>
        <v>416.01246454189061</v>
      </c>
      <c r="O18" s="59" cm="1">
        <f t="array" ref="O18">IFERROR(IF(I18&lt;_xlfn.XLOOKUP(D18,D19:D$1000,I19:I$1000,,0,1),G18*H18-_xlfn.XLOOKUP(D18,D19:D$1000,N19:N$1000,,0,1)*-E18*MAX(1,M18/IFERROR(_xlfn.XLOOKUP(D18,D19:D$1000,L19:L$1000,,0,1),M18)),0),0)</f>
        <v>107.10014580824918</v>
      </c>
      <c r="P18" s="56" cm="1">
        <f t="array" ref="P18">IF(O18&lt;0,1,IF(E18&lt;0, _xlfn.LET(_xlpm.v_cant, ABS(E18), _xlpm.v_fecha, B18, _xlpm.v_ticker, D18, _xlpm.rango_f, B19:B$1000, _xlpm.rango_t, E19:E$1000, _xlpm.filtro, D19:D$1000=_xlpm.v_ticker, _xlpm.c_fechas, _xlfn._xlws.FILTER(_xlpm.rango_f, _xlpm.filtro*(_xlpm.rango_t&gt;0), _xlpm.v_fecha), _xlpm.c_cants, _xlfn._xlws.FILTER(_xlpm.rango_t, _xlpm.filtro*(_xlpm.rango_t&gt;0), 0), _xlpm.v_acums_pasadas, ABS(SUMIFS(E19:E$1000, D19:D$1000, _xlpm.v_ticker, E19:E$1000,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9" spans="1:16" x14ac:dyDescent="0.45">
      <c r="A19" s="3" t="s">
        <v>76</v>
      </c>
      <c r="B19" s="4">
        <f t="shared" si="0"/>
        <v>46059</v>
      </c>
      <c r="C19" s="3" t="s">
        <v>90</v>
      </c>
      <c r="D19" s="3" t="s">
        <v>206</v>
      </c>
      <c r="E19" s="3">
        <v>0.14200499</v>
      </c>
      <c r="F19" s="3">
        <v>70.208799999999997</v>
      </c>
      <c r="G19" s="3">
        <v>-9.99</v>
      </c>
      <c r="H19" s="5">
        <v>17.2988</v>
      </c>
      <c r="I19" s="8">
        <f>SUMIF(D19:D$1000,D19,E19:E$1000)</f>
        <v>0.35190515</v>
      </c>
      <c r="J19" s="9" cm="1">
        <f t="array" ref="J19">IF(I19&gt;IFERROR(_xlfn.XLOOKUP(D19,D20:D$1000,I20:I$1000,,0,1),0),(IFERROR(_xlfn.XLOOKUP(D19,D20:D$1000,J20:J$1000,,0,1),0)*IFERROR(_xlfn.XLOOKUP(D19,D20:D$1000,I20:I$1000,,0,1),0)-G19*H19)/I19,_xlfn.XLOOKUP(D19,D20:D$1000,J20:J$1000,,0,1))</f>
        <v>1303.8540697685155</v>
      </c>
      <c r="K19" s="10" cm="1">
        <f t="array" ref="K19">IFERROR(IF(I19&lt;_xlfn.XLOOKUP(D19,D20:D$1000,I20:I$1000,,0,1),G19*H19-_xlfn.XLOOKUP(D19,D20:D$1000,J20:J$1000,,0,1)*-E19,0),0)</f>
        <v>0</v>
      </c>
      <c r="L19" s="56">
        <v>144.30699999999999</v>
      </c>
      <c r="M19" s="56">
        <v>143.58799999999999</v>
      </c>
      <c r="N19" s="59" cm="1">
        <f t="array" ref="N19">IF(I19&gt;_xlfn.XLOOKUP(D19,D20:D$1000,I20:I$1000,0,0,1),(_xlfn.XLOOKUP(D19,D20:D$1000,N20:N$1000,0,0,1)*MAX(1,L19/_xlfn.XLOOKUP(D19,D20:D$1000,L20:L$1000,L19,0,1))*_xlfn.XLOOKUP(D19,D20:D$1000,I20:I$1000,0,0,1)-G19*H19)/I19,_xlfn.XLOOKUP(D19,D20:D$1000,N20:N$1000,,0,1)*MAX(1,L19/_xlfn.XLOOKUP(D19,D20:D$1000,L20:L$1000,,0,1)))</f>
        <v>1303.8540697685155</v>
      </c>
      <c r="O19" s="59" cm="1">
        <f t="array" ref="O19">IFERROR(IF(I19&lt;_xlfn.XLOOKUP(D19,D20:D$1000,I20:I$1000,,0,1),G19*H19-_xlfn.XLOOKUP(D19,D20:D$1000,N20:N$1000,,0,1)*-E19*MAX(1,M19/IFERROR(_xlfn.XLOOKUP(D19,D20:D$1000,L20:L$1000,,0,1),M19)),0),0)</f>
        <v>0</v>
      </c>
      <c r="P19" s="56" t="str" cm="1">
        <f t="array" ref="P19">IF(O19&lt;0,1,IF(E19&lt;0, _xlfn.LET(_xlpm.v_cant, ABS(E19), _xlpm.v_fecha, B19, _xlpm.v_ticker, D19, _xlpm.rango_f, B20:B$1000, _xlpm.rango_t, E20:E$1000, _xlpm.filtro, D20:D$1000=_xlpm.v_ticker, _xlpm.c_fechas, _xlfn._xlws.FILTER(_xlpm.rango_f, _xlpm.filtro*(_xlpm.rango_t&gt;0), _xlpm.v_fecha), _xlpm.c_cants, _xlfn._xlws.FILTER(_xlpm.rango_t, _xlpm.filtro*(_xlpm.rango_t&gt;0), 0), _xlpm.v_acums_pasadas, ABS(SUMIFS(E20:E$1000, D20:D$1000, _xlpm.v_ticker, E20:E$1000,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0" spans="1:16" x14ac:dyDescent="0.45">
      <c r="A20" s="3" t="s">
        <v>76</v>
      </c>
      <c r="B20" s="4">
        <f t="shared" si="0"/>
        <v>46059</v>
      </c>
      <c r="C20" s="3" t="s">
        <v>91</v>
      </c>
      <c r="D20" s="3" t="s">
        <v>124</v>
      </c>
      <c r="E20" s="3">
        <v>-1</v>
      </c>
      <c r="F20" s="3">
        <v>11.901400000000001</v>
      </c>
      <c r="G20" s="3">
        <v>11.88</v>
      </c>
      <c r="H20" s="5">
        <v>17.2988</v>
      </c>
      <c r="I20" s="8">
        <f>SUMIF(D20:D$1000,D20,E20:E$1000)</f>
        <v>5.5630739500000006</v>
      </c>
      <c r="J20" s="9" cm="1">
        <f t="array" ref="J20">IF(I20&gt;IFERROR(_xlfn.XLOOKUP(D20,D21:D$1000,I21:I$1000,,0,1),0),(IFERROR(_xlfn.XLOOKUP(D20,D21:D$1000,J21:J$1000,,0,1),0)*IFERROR(_xlfn.XLOOKUP(D20,D21:D$1000,I21:I$1000,,0,1),0)-G20*H20)/I20,_xlfn.XLOOKUP(D20,D21:D$1000,J21:J$1000,,0,1))</f>
        <v>104.03916497497437</v>
      </c>
      <c r="K20" s="10" cm="1">
        <f t="array" ref="K20">IFERROR(IF(I20&lt;_xlfn.XLOOKUP(D20,D21:D$1000,I21:I$1000,,0,1),G20*H20-_xlfn.XLOOKUP(D20,D21:D$1000,J21:J$1000,,0,1)*-E20,0),0)</f>
        <v>101.47057902502564</v>
      </c>
      <c r="L20" s="56">
        <v>144.30699999999999</v>
      </c>
      <c r="M20" s="56">
        <v>143.58799999999999</v>
      </c>
      <c r="N20" s="59" cm="1">
        <f t="array" ref="N20">IF(I20&gt;_xlfn.XLOOKUP(D20,D21:D$1000,I21:I$1000,0,0,1),(_xlfn.XLOOKUP(D20,D21:D$1000,N21:N$1000,0,0,1)*MAX(1,L20/_xlfn.XLOOKUP(D20,D21:D$1000,L21:L$1000,L20,0,1))*_xlfn.XLOOKUP(D20,D21:D$1000,I21:I$1000,0,0,1)-G20*H20)/I20,_xlfn.XLOOKUP(D20,D21:D$1000,N21:N$1000,,0,1)*MAX(1,L20/_xlfn.XLOOKUP(D20,D21:D$1000,L21:L$1000,,0,1)))</f>
        <v>107.27268342769902</v>
      </c>
      <c r="O20" s="59" cm="1">
        <f t="array" ref="O20">IFERROR(IF(I20&lt;_xlfn.XLOOKUP(D20,D21:D$1000,I21:I$1000,,0,1),G20*H20-_xlfn.XLOOKUP(D20,D21:D$1000,N21:N$1000,,0,1)*-E20*MAX(1,M20/IFERROR(_xlfn.XLOOKUP(D20,D21:D$1000,L21:L$1000,,0,1),M20)),0),0)</f>
        <v>98.771539560738944</v>
      </c>
      <c r="P20" s="56" cm="1">
        <f t="array" ref="P20">IF(O20&lt;0,1,IF(E20&lt;0, _xlfn.LET(_xlpm.v_cant, ABS(E20), _xlpm.v_fecha, B20, _xlpm.v_ticker, D20, _xlpm.rango_f, B21:B$1000, _xlpm.rango_t, E21:E$1000, _xlpm.filtro, D21:D$1000=_xlpm.v_ticker, _xlpm.c_fechas, _xlfn._xlws.FILTER(_xlpm.rango_f, _xlpm.filtro*(_xlpm.rango_t&gt;0), _xlpm.v_fecha), _xlpm.c_cants, _xlfn._xlws.FILTER(_xlpm.rango_t, _xlpm.filtro*(_xlpm.rango_t&gt;0), 0), _xlpm.v_acums_pasadas, ABS(SUMIFS(E21:E$1000, D21:D$1000, _xlpm.v_ticker, E21:E$1000,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1" spans="1:16" x14ac:dyDescent="0.45">
      <c r="A21" s="3" t="s">
        <v>76</v>
      </c>
      <c r="B21" s="4">
        <f t="shared" si="0"/>
        <v>46059</v>
      </c>
      <c r="C21" s="3" t="s">
        <v>91</v>
      </c>
      <c r="D21" s="3" t="s">
        <v>142</v>
      </c>
      <c r="E21" s="3">
        <v>-0.29399999999999998</v>
      </c>
      <c r="F21" s="3">
        <v>87.351200000000006</v>
      </c>
      <c r="G21" s="3">
        <v>25.62</v>
      </c>
      <c r="H21" s="5">
        <v>17.2988</v>
      </c>
      <c r="I21" s="8">
        <f>SUMIF(D21:D$1000,D21,E21:E$1000)</f>
        <v>0.50027402999999993</v>
      </c>
      <c r="J21" s="9" cm="1">
        <f t="array" ref="J21">IF(I21&gt;IFERROR(_xlfn.XLOOKUP(D21,D22:D$1000,I22:I$1000,,0,1),0),(IFERROR(_xlfn.XLOOKUP(D21,D22:D$1000,J22:J$1000,,0,1),0)*IFERROR(_xlfn.XLOOKUP(D21,D22:D$1000,I22:I$1000,,0,1),0)-G21*H21)/I21,_xlfn.XLOOKUP(D21,D22:D$1000,J22:J$1000,,0,1))</f>
        <v>1742.8531510718035</v>
      </c>
      <c r="K21" s="10" cm="1">
        <f t="array" ref="K21">IFERROR(IF(I21&lt;_xlfn.XLOOKUP(D21,D22:D$1000,I22:I$1000,,0,1),G21*H21-_xlfn.XLOOKUP(D21,D22:D$1000,J22:J$1000,,0,1)*-E21,0),0)</f>
        <v>-69.203570415110164</v>
      </c>
      <c r="L21" s="56">
        <v>144.30699999999999</v>
      </c>
      <c r="M21" s="56">
        <v>143.58799999999999</v>
      </c>
      <c r="N21" s="59" cm="1">
        <f t="array" ref="N21">IF(I21&gt;_xlfn.XLOOKUP(D21,D22:D$1000,I22:I$1000,0,0,1),(_xlfn.XLOOKUP(D21,D22:D$1000,N22:N$1000,0,0,1)*MAX(1,L21/_xlfn.XLOOKUP(D21,D22:D$1000,L22:L$1000,L21,0,1))*_xlfn.XLOOKUP(D21,D22:D$1000,I22:I$1000,0,0,1)-G21*H21)/I21,_xlfn.XLOOKUP(D21,D22:D$1000,N22:N$1000,,0,1)*MAX(1,L21/_xlfn.XLOOKUP(D21,D22:D$1000,L22:L$1000,,0,1)))</f>
        <v>1799.364983157084</v>
      </c>
      <c r="O21" s="59" cm="1">
        <f t="array" ref="O21">IFERROR(IF(I21&lt;_xlfn.XLOOKUP(D21,D22:D$1000,I22:I$1000,,0,1),G21*H21-_xlfn.XLOOKUP(D21,D22:D$1000,N22:N$1000,,0,1)*-E21*MAX(1,M21/IFERROR(_xlfn.XLOOKUP(D21,D22:D$1000,L22:L$1000,,0,1),M21)),0),0)</f>
        <v>-83.182275549117151</v>
      </c>
      <c r="P21" s="56" cm="1">
        <f t="array" ref="P21">IF(O21&lt;0,1,IF(E21&lt;0, _xlfn.LET(_xlpm.v_cant, ABS(E21), _xlpm.v_fecha, B21, _xlpm.v_ticker, D21, _xlpm.rango_f, B22:B$1000, _xlpm.rango_t, E22:E$1000, _xlpm.filtro, D22:D$1000=_xlpm.v_ticker, _xlpm.c_fechas, _xlfn._xlws.FILTER(_xlpm.rango_f, _xlpm.filtro*(_xlpm.rango_t&gt;0), _xlpm.v_fecha), _xlpm.c_cants, _xlfn._xlws.FILTER(_xlpm.rango_t, _xlpm.filtro*(_xlpm.rango_t&gt;0), 0), _xlpm.v_acums_pasadas, ABS(SUMIFS(E22:E$1000, D22:D$1000, _xlpm.v_ticker, E22:E$1000,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2" spans="1:16" x14ac:dyDescent="0.45">
      <c r="A22" s="3" t="s">
        <v>76</v>
      </c>
      <c r="B22" s="4">
        <f t="shared" si="0"/>
        <v>46059</v>
      </c>
      <c r="C22" s="3" t="s">
        <v>91</v>
      </c>
      <c r="D22" s="3" t="s">
        <v>94</v>
      </c>
      <c r="E22" s="3">
        <v>-0.32</v>
      </c>
      <c r="F22" s="3">
        <v>78.821200000000005</v>
      </c>
      <c r="G22" s="3">
        <v>25.16</v>
      </c>
      <c r="H22" s="5">
        <v>17.2988</v>
      </c>
      <c r="I22" s="8">
        <f>SUMIF(D22:D$1000,D22,E22:E$1000)</f>
        <v>1.0009670900000001</v>
      </c>
      <c r="J22" s="9" cm="1">
        <f t="array" ref="J22">IF(I22&gt;IFERROR(_xlfn.XLOOKUP(D22,D23:D$1000,I23:I$1000,,0,1),0),(IFERROR(_xlfn.XLOOKUP(D22,D23:D$1000,J23:J$1000,,0,1),0)*IFERROR(_xlfn.XLOOKUP(D22,D23:D$1000,I23:I$1000,,0,1),0)-G22*H22)/I22,_xlfn.XLOOKUP(D22,D23:D$1000,J23:J$1000,,0,1))</f>
        <v>1508.0025967944443</v>
      </c>
      <c r="K22" s="10" cm="1">
        <f t="array" ref="K22">IFERROR(IF(I22&lt;_xlfn.XLOOKUP(D22,D23:D$1000,I23:I$1000,,0,1),G22*H22-_xlfn.XLOOKUP(D22,D23:D$1000,J23:J$1000,,0,1)*-E22,0),0)</f>
        <v>-47.32302297422217</v>
      </c>
      <c r="L22" s="56">
        <v>144.30699999999999</v>
      </c>
      <c r="M22" s="56">
        <v>143.58799999999999</v>
      </c>
      <c r="N22" s="59" cm="1">
        <f t="array" ref="N22">IF(I22&gt;_xlfn.XLOOKUP(D22,D23:D$1000,I23:I$1000,0,0,1),(_xlfn.XLOOKUP(D22,D23:D$1000,N23:N$1000,0,0,1)*MAX(1,L22/_xlfn.XLOOKUP(D22,D23:D$1000,L23:L$1000,L22,0,1))*_xlfn.XLOOKUP(D22,D23:D$1000,I23:I$1000,0,0,1)-G22*H22)/I22,_xlfn.XLOOKUP(D22,D23:D$1000,N23:N$1000,,0,1)*MAX(1,L22/_xlfn.XLOOKUP(D22,D23:D$1000,L23:L$1000,,0,1)))</f>
        <v>1594.3354012434725</v>
      </c>
      <c r="O22" s="59" cm="1">
        <f t="array" ref="O22">IFERROR(IF(I22&lt;_xlfn.XLOOKUP(D22,D23:D$1000,I23:I$1000,,0,1),G22*H22-_xlfn.XLOOKUP(D22,D23:D$1000,N23:N$1000,,0,1)*-E22*MAX(1,M22/IFERROR(_xlfn.XLOOKUP(D22,D23:D$1000,L23:L$1000,,0,1),M22)),0),0)</f>
        <v>-72.407546071522972</v>
      </c>
      <c r="P22" s="56" cm="1">
        <f t="array" ref="P22">IF(O22&lt;0,1,IF(E22&lt;0, _xlfn.LET(_xlpm.v_cant, ABS(E22), _xlpm.v_fecha, B22, _xlpm.v_ticker, D22, _xlpm.rango_f, B23:B$1000, _xlpm.rango_t, E23:E$1000, _xlpm.filtro, D23:D$1000=_xlpm.v_ticker, _xlpm.c_fechas, _xlfn._xlws.FILTER(_xlpm.rango_f, _xlpm.filtro*(_xlpm.rango_t&gt;0), _xlpm.v_fecha), _xlpm.c_cants, _xlfn._xlws.FILTER(_xlpm.rango_t, _xlpm.filtro*(_xlpm.rango_t&gt;0), 0), _xlpm.v_acums_pasadas, ABS(SUMIFS(E23:E$1000, D23:D$1000, _xlpm.v_ticker, E23:E$1000,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3" spans="1:16" x14ac:dyDescent="0.45">
      <c r="A23" s="3" t="s">
        <v>76</v>
      </c>
      <c r="B23" s="4">
        <f t="shared" si="0"/>
        <v>46059</v>
      </c>
      <c r="C23" s="3" t="s">
        <v>90</v>
      </c>
      <c r="D23" s="3" t="s">
        <v>207</v>
      </c>
      <c r="E23" s="3">
        <v>4.1382479999999999E-2</v>
      </c>
      <c r="F23" s="3">
        <v>602.42880000000002</v>
      </c>
      <c r="G23" s="3">
        <v>-24.99</v>
      </c>
      <c r="H23" s="5">
        <v>17.2988</v>
      </c>
      <c r="I23" s="8">
        <f>SUMIF(D23:D$1000,D23,E23:E$1000)</f>
        <v>4.1382479999999999E-2</v>
      </c>
      <c r="J23" s="9" cm="1">
        <f t="array" ref="J23">IF(I23&gt;IFERROR(_xlfn.XLOOKUP(D23,D24:D$1000,I24:I$1000,,0,1),0),(IFERROR(_xlfn.XLOOKUP(D23,D24:D$1000,J24:J$1000,,0,1),0)*IFERROR(_xlfn.XLOOKUP(D23,D24:D$1000,I24:I$1000,,0,1),0)-G23*H23)/I23,_xlfn.XLOOKUP(D23,D24:D$1000,J24:J$1000,,0,1))</f>
        <v>10446.377597476034</v>
      </c>
      <c r="K23" s="10" cm="1">
        <f t="array" ref="K23">IFERROR(IF(I23&lt;_xlfn.XLOOKUP(D23,D24:D$1000,I24:I$1000,,0,1),G23*H23-_xlfn.XLOOKUP(D23,D24:D$1000,J24:J$1000,,0,1)*-E23,0),0)</f>
        <v>0</v>
      </c>
      <c r="L23" s="56">
        <v>144.30699999999999</v>
      </c>
      <c r="M23" s="56">
        <v>143.58799999999999</v>
      </c>
      <c r="N23" s="59" cm="1">
        <f t="array" ref="N23">IF(I23&gt;_xlfn.XLOOKUP(D23,D24:D$1000,I24:I$1000,0,0,1),(_xlfn.XLOOKUP(D23,D24:D$1000,N24:N$1000,0,0,1)*MAX(1,L23/_xlfn.XLOOKUP(D23,D24:D$1000,L24:L$1000,L23,0,1))*_xlfn.XLOOKUP(D23,D24:D$1000,I24:I$1000,0,0,1)-G23*H23)/I23,_xlfn.XLOOKUP(D23,D24:D$1000,N24:N$1000,,0,1)*MAX(1,L23/_xlfn.XLOOKUP(D23,D24:D$1000,L24:L$1000,,0,1)))</f>
        <v>10446.377597476034</v>
      </c>
      <c r="O23" s="59" cm="1">
        <f t="array" ref="O23">IFERROR(IF(I23&lt;_xlfn.XLOOKUP(D23,D24:D$1000,I24:I$1000,,0,1),G23*H23-_xlfn.XLOOKUP(D23,D24:D$1000,N24:N$1000,,0,1)*-E23*MAX(1,M23/IFERROR(_xlfn.XLOOKUP(D23,D24:D$1000,L24:L$1000,,0,1),M23)),0),0)</f>
        <v>0</v>
      </c>
      <c r="P23" s="56" t="str" cm="1">
        <f t="array" ref="P23">IF(O23&lt;0,1,IF(E23&lt;0, _xlfn.LET(_xlpm.v_cant, ABS(E23), _xlpm.v_fecha, B23, _xlpm.v_ticker, D23, _xlpm.rango_f, B24:B$1000, _xlpm.rango_t, E24:E$1000, _xlpm.filtro, D24:D$1000=_xlpm.v_ticker, _xlpm.c_fechas, _xlfn._xlws.FILTER(_xlpm.rango_f, _xlpm.filtro*(_xlpm.rango_t&gt;0), _xlpm.v_fecha), _xlpm.c_cants, _xlfn._xlws.FILTER(_xlpm.rango_t, _xlpm.filtro*(_xlpm.rango_t&gt;0), 0), _xlpm.v_acums_pasadas, ABS(SUMIFS(E24:E$1000, D24:D$1000, _xlpm.v_ticker, E24:E$1000,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" spans="1:16" x14ac:dyDescent="0.45">
      <c r="A24" s="3" t="s">
        <v>76</v>
      </c>
      <c r="B24" s="4">
        <f t="shared" si="0"/>
        <v>46059</v>
      </c>
      <c r="C24" s="3" t="s">
        <v>90</v>
      </c>
      <c r="D24" s="3" t="s">
        <v>181</v>
      </c>
      <c r="E24" s="3">
        <v>2.263892E-2</v>
      </c>
      <c r="F24" s="3">
        <v>660.80880000000002</v>
      </c>
      <c r="G24" s="3">
        <v>-14.99</v>
      </c>
      <c r="H24" s="5">
        <v>17.2988</v>
      </c>
      <c r="I24" s="8">
        <f>SUMIF(D24:D$1000,D24,E24:E$1000)</f>
        <v>6.1641479999999998E-2</v>
      </c>
      <c r="J24" s="9" cm="1">
        <f t="array" ref="J24">IF(I24&gt;IFERROR(_xlfn.XLOOKUP(D24,D25:D$1000,I25:I$1000,,0,1),0),(IFERROR(_xlfn.XLOOKUP(D24,D25:D$1000,J25:J$1000,,0,1),0)*IFERROR(_xlfn.XLOOKUP(D24,D25:D$1000,I25:I$1000,,0,1),0)-G24*H24)/I24,_xlfn.XLOOKUP(D24,D25:D$1000,J25:J$1000,,0,1))</f>
        <v>11745.1846548785</v>
      </c>
      <c r="K24" s="10" cm="1">
        <f t="array" ref="K24">IFERROR(IF(I24&lt;_xlfn.XLOOKUP(D24,D25:D$1000,I25:I$1000,,0,1),G24*H24-_xlfn.XLOOKUP(D24,D25:D$1000,J25:J$1000,,0,1)*-E24,0),0)</f>
        <v>0</v>
      </c>
      <c r="L24" s="56">
        <v>144.30699999999999</v>
      </c>
      <c r="M24" s="56">
        <v>143.58799999999999</v>
      </c>
      <c r="N24" s="59" cm="1">
        <f t="array" ref="N24">IF(I24&gt;_xlfn.XLOOKUP(D24,D25:D$1000,I25:I$1000,0,0,1),(_xlfn.XLOOKUP(D24,D25:D$1000,N25:N$1000,0,0,1)*MAX(1,L24/_xlfn.XLOOKUP(D24,D25:D$1000,L25:L$1000,L24,0,1))*_xlfn.XLOOKUP(D24,D25:D$1000,I25:I$1000,0,0,1)-G24*H24)/I24,_xlfn.XLOOKUP(D24,D25:D$1000,N25:N$1000,,0,1)*MAX(1,L24/_xlfn.XLOOKUP(D24,D25:D$1000,L25:L$1000,,0,1)))</f>
        <v>11833.017477731128</v>
      </c>
      <c r="O24" s="59" cm="1">
        <f t="array" ref="O24">IFERROR(IF(I24&lt;_xlfn.XLOOKUP(D24,D25:D$1000,I25:I$1000,,0,1),G24*H24-_xlfn.XLOOKUP(D24,D25:D$1000,N25:N$1000,,0,1)*-E24*MAX(1,M24/IFERROR(_xlfn.XLOOKUP(D24,D25:D$1000,L25:L$1000,,0,1),M24)),0),0)</f>
        <v>0</v>
      </c>
      <c r="P24" s="56" t="str" cm="1">
        <f t="array" ref="P24">IF(O24&lt;0,1,IF(E24&lt;0, _xlfn.LET(_xlpm.v_cant, ABS(E24), _xlpm.v_fecha, B24, _xlpm.v_ticker, D24, _xlpm.rango_f, B25:B$1000, _xlpm.rango_t, E25:E$1000, _xlpm.filtro, D25:D$1000=_xlpm.v_ticker, _xlpm.c_fechas, _xlfn._xlws.FILTER(_xlpm.rango_f, _xlpm.filtro*(_xlpm.rango_t&gt;0), _xlpm.v_fecha), _xlpm.c_cants, _xlfn._xlws.FILTER(_xlpm.rango_t, _xlpm.filtro*(_xlpm.rango_t&gt;0), 0), _xlpm.v_acums_pasadas, ABS(SUMIFS(E25:E$1000, D25:D$1000, _xlpm.v_ticker, E25:E$1000,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" spans="1:16" x14ac:dyDescent="0.45">
      <c r="A25" s="3" t="s">
        <v>75</v>
      </c>
      <c r="B25" s="4">
        <f t="shared" si="0"/>
        <v>46057</v>
      </c>
      <c r="C25" s="3" t="s">
        <v>91</v>
      </c>
      <c r="D25" s="3" t="s">
        <v>131</v>
      </c>
      <c r="E25" s="3">
        <v>-0.54235714999999995</v>
      </c>
      <c r="F25" s="3">
        <v>52.161200000000001</v>
      </c>
      <c r="G25" s="3">
        <v>28.22</v>
      </c>
      <c r="H25" s="5">
        <v>17.2925</v>
      </c>
      <c r="I25" s="8">
        <f>SUMIF(D25:D$1000,D25,E25:E$1000)</f>
        <v>0.53614592999999999</v>
      </c>
      <c r="J25" s="9" cm="1">
        <f t="array" ref="J25">IF(I25&gt;IFERROR(_xlfn.XLOOKUP(D25,D26:D$1000,I26:I$1000,,0,1),0),(IFERROR(_xlfn.XLOOKUP(D25,D26:D$1000,J26:J$1000,,0,1),0)*IFERROR(_xlfn.XLOOKUP(D25,D26:D$1000,I26:I$1000,,0,1),0)-G25*H25)/I25,_xlfn.XLOOKUP(D25,D26:D$1000,J26:J$1000,,0,1))</f>
        <v>416.72507138319907</v>
      </c>
      <c r="K25" s="10" cm="1">
        <f t="array" ref="K25">IFERROR(IF(I25&lt;_xlfn.XLOOKUP(D25,D26:D$1000,I26:I$1000,,0,1),G25*H25-_xlfn.XLOOKUP(D25,D26:D$1000,J26:J$1000,,0,1)*-E25,0),0)</f>
        <v>261.98052795106162</v>
      </c>
      <c r="L25" s="56">
        <v>144.30699999999999</v>
      </c>
      <c r="M25" s="56">
        <v>143.58799999999999</v>
      </c>
      <c r="N25" s="59" cm="1">
        <f t="array" ref="N25">IF(I25&gt;_xlfn.XLOOKUP(D25,D26:D$1000,I26:I$1000,0,0,1),(_xlfn.XLOOKUP(D25,D26:D$1000,N26:N$1000,0,0,1)*MAX(1,L25/_xlfn.XLOOKUP(D25,D26:D$1000,L26:L$1000,L25,0,1))*_xlfn.XLOOKUP(D25,D26:D$1000,I26:I$1000,0,0,1)-G25*H25)/I25,_xlfn.XLOOKUP(D25,D26:D$1000,N26:N$1000,,0,1)*MAX(1,L25/_xlfn.XLOOKUP(D25,D26:D$1000,L26:L$1000,,0,1)))</f>
        <v>432.13504412942785</v>
      </c>
      <c r="O25" s="59" cm="1">
        <f t="array" ref="O25">IFERROR(IF(I25&lt;_xlfn.XLOOKUP(D25,D26:D$1000,I26:I$1000,,0,1),G25*H25-_xlfn.XLOOKUP(D25,D26:D$1000,N26:N$1000,,0,1)*-E25*MAX(1,M25/IFERROR(_xlfn.XLOOKUP(D25,D26:D$1000,L26:L$1000,,0,1),M25)),0),0)</f>
        <v>254.79055956760183</v>
      </c>
      <c r="P25" s="56" cm="1">
        <f t="array" ref="P25">IF(O25&lt;0,1,IF(E25&lt;0, _xlfn.LET(_xlpm.v_cant, ABS(E25), _xlpm.v_fecha, B25, _xlpm.v_ticker, D25, _xlpm.rango_f, B26:B$1000, _xlpm.rango_t, E26:E$1000, _xlpm.filtro, D26:D$1000=_xlpm.v_ticker, _xlpm.c_fechas, _xlfn._xlws.FILTER(_xlpm.rango_f, _xlpm.filtro*(_xlpm.rango_t&gt;0), _xlpm.v_fecha), _xlpm.c_cants, _xlfn._xlws.FILTER(_xlpm.rango_t, _xlpm.filtro*(_xlpm.rango_t&gt;0), 0), _xlpm.v_acums_pasadas, ABS(SUMIFS(E26:E$1000, D26:D$1000, _xlpm.v_ticker, E26:E$1000,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6" spans="1:16" x14ac:dyDescent="0.45">
      <c r="A26" s="3" t="s">
        <v>75</v>
      </c>
      <c r="B26" s="4">
        <f t="shared" si="0"/>
        <v>46057</v>
      </c>
      <c r="C26" s="3" t="s">
        <v>90</v>
      </c>
      <c r="D26" s="3" t="s">
        <v>98</v>
      </c>
      <c r="E26" s="3">
        <v>5.9143580000000001E-2</v>
      </c>
      <c r="F26" s="3">
        <v>202.3888</v>
      </c>
      <c r="G26" s="3">
        <v>-11.99</v>
      </c>
      <c r="H26" s="5">
        <v>17.2925</v>
      </c>
      <c r="I26" s="8">
        <f>SUMIF(D26:D$1000,D26,E26:E$1000)</f>
        <v>0.29777503</v>
      </c>
      <c r="J26" s="9" cm="1">
        <f t="array" ref="J26">IF(I26&gt;IFERROR(_xlfn.XLOOKUP(D26,D27:D$1000,I27:I$1000,,0,1),0),(IFERROR(_xlfn.XLOOKUP(D26,D27:D$1000,J27:J$1000,,0,1),0)*IFERROR(_xlfn.XLOOKUP(D26,D27:D$1000,I27:I$1000,,0,1),0)-G26*H26)/I26,_xlfn.XLOOKUP(D26,D27:D$1000,J27:J$1000,,0,1))</f>
        <v>2787.0722269761841</v>
      </c>
      <c r="K26" s="10" cm="1">
        <f t="array" ref="K26">IFERROR(IF(I26&lt;_xlfn.XLOOKUP(D26,D27:D$1000,I27:I$1000,,0,1),G26*H26-_xlfn.XLOOKUP(D26,D27:D$1000,J27:J$1000,,0,1)*-E26,0),0)</f>
        <v>0</v>
      </c>
      <c r="L26" s="56">
        <v>144.30699999999999</v>
      </c>
      <c r="M26" s="56">
        <v>143.58799999999999</v>
      </c>
      <c r="N26" s="59" cm="1">
        <f t="array" ref="N26">IF(I26&gt;_xlfn.XLOOKUP(D26,D27:D$1000,I27:I$1000,0,0,1),(_xlfn.XLOOKUP(D26,D27:D$1000,N27:N$1000,0,0,1)*MAX(1,L26/_xlfn.XLOOKUP(D26,D27:D$1000,L27:L$1000,L26,0,1))*_xlfn.XLOOKUP(D26,D27:D$1000,I27:I$1000,0,0,1)-G26*H26)/I26,_xlfn.XLOOKUP(D26,D27:D$1000,N27:N$1000,,0,1)*MAX(1,L26/_xlfn.XLOOKUP(D26,D27:D$1000,L27:L$1000,,0,1)))</f>
        <v>2878.2668794228784</v>
      </c>
      <c r="O26" s="59" cm="1">
        <f t="array" ref="O26">IFERROR(IF(I26&lt;_xlfn.XLOOKUP(D26,D27:D$1000,I27:I$1000,,0,1),G26*H26-_xlfn.XLOOKUP(D26,D27:D$1000,N27:N$1000,,0,1)*-E26*MAX(1,M26/IFERROR(_xlfn.XLOOKUP(D26,D27:D$1000,L27:L$1000,,0,1),M26)),0),0)</f>
        <v>0</v>
      </c>
      <c r="P26" s="56" t="str" cm="1">
        <f t="array" ref="P26">IF(O26&lt;0,1,IF(E26&lt;0, _xlfn.LET(_xlpm.v_cant, ABS(E26), _xlpm.v_fecha, B26, _xlpm.v_ticker, D26, _xlpm.rango_f, B27:B$1000, _xlpm.rango_t, E27:E$1000, _xlpm.filtro, D27:D$1000=_xlpm.v_ticker, _xlpm.c_fechas, _xlfn._xlws.FILTER(_xlpm.rango_f, _xlpm.filtro*(_xlpm.rango_t&gt;0), _xlpm.v_fecha), _xlpm.c_cants, _xlfn._xlws.FILTER(_xlpm.rango_t, _xlpm.filtro*(_xlpm.rango_t&gt;0), 0), _xlpm.v_acums_pasadas, ABS(SUMIFS(E27:E$1000, D27:D$1000, _xlpm.v_ticker, E27:E$1000,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" spans="1:16" x14ac:dyDescent="0.45">
      <c r="A27" s="3" t="s">
        <v>75</v>
      </c>
      <c r="B27" s="4">
        <f t="shared" si="0"/>
        <v>46057</v>
      </c>
      <c r="C27" s="3" t="s">
        <v>90</v>
      </c>
      <c r="D27" s="3" t="s">
        <v>206</v>
      </c>
      <c r="E27" s="3">
        <v>0.20990016</v>
      </c>
      <c r="F27" s="3">
        <v>78.608800000000002</v>
      </c>
      <c r="G27" s="3">
        <v>-16.54</v>
      </c>
      <c r="H27" s="5">
        <v>17.2925</v>
      </c>
      <c r="I27" s="8">
        <f>SUMIF(D27:D$1000,D27,E27:E$1000)</f>
        <v>0.20990016</v>
      </c>
      <c r="J27" s="9" cm="1">
        <f t="array" ref="J27">IF(I27&gt;IFERROR(_xlfn.XLOOKUP(D27,D28:D$1000,I28:I$1000,,0,1),0),(IFERROR(_xlfn.XLOOKUP(D27,D28:D$1000,J28:J$1000,,0,1),0)*IFERROR(_xlfn.XLOOKUP(D27,D28:D$1000,I28:I$1000,,0,1),0)-G27*H27)/I27,_xlfn.XLOOKUP(D27,D28:D$1000,J28:J$1000,,0,1))</f>
        <v>1362.6380751686897</v>
      </c>
      <c r="K27" s="10" cm="1">
        <f t="array" ref="K27">IFERROR(IF(I27&lt;_xlfn.XLOOKUP(D27,D28:D$1000,I28:I$1000,,0,1),G27*H27-_xlfn.XLOOKUP(D27,D28:D$1000,J28:J$1000,,0,1)*-E27,0),0)</f>
        <v>0</v>
      </c>
      <c r="L27" s="56">
        <v>144.30699999999999</v>
      </c>
      <c r="M27" s="56">
        <v>143.58799999999999</v>
      </c>
      <c r="N27" s="59" cm="1">
        <f t="array" ref="N27">IF(I27&gt;_xlfn.XLOOKUP(D27,D28:D$1000,I28:I$1000,0,0,1),(_xlfn.XLOOKUP(D27,D28:D$1000,N28:N$1000,0,0,1)*MAX(1,L27/_xlfn.XLOOKUP(D27,D28:D$1000,L28:L$1000,L27,0,1))*_xlfn.XLOOKUP(D27,D28:D$1000,I28:I$1000,0,0,1)-G27*H27)/I27,_xlfn.XLOOKUP(D27,D28:D$1000,N28:N$1000,,0,1)*MAX(1,L27/_xlfn.XLOOKUP(D27,D28:D$1000,L28:L$1000,,0,1)))</f>
        <v>1362.6380751686897</v>
      </c>
      <c r="O27" s="59" cm="1">
        <f t="array" ref="O27">IFERROR(IF(I27&lt;_xlfn.XLOOKUP(D27,D28:D$1000,I28:I$1000,,0,1),G27*H27-_xlfn.XLOOKUP(D27,D28:D$1000,N28:N$1000,,0,1)*-E27*MAX(1,M27/IFERROR(_xlfn.XLOOKUP(D27,D28:D$1000,L28:L$1000,,0,1),M27)),0),0)</f>
        <v>0</v>
      </c>
      <c r="P27" s="56" t="str" cm="1">
        <f t="array" ref="P27">IF(O27&lt;0,1,IF(E27&lt;0, _xlfn.LET(_xlpm.v_cant, ABS(E27), _xlpm.v_fecha, B27, _xlpm.v_ticker, D27, _xlpm.rango_f, B28:B$1000, _xlpm.rango_t, E28:E$1000, _xlpm.filtro, D28:D$1000=_xlpm.v_ticker, _xlpm.c_fechas, _xlfn._xlws.FILTER(_xlpm.rango_f, _xlpm.filtro*(_xlpm.rango_t&gt;0), _xlpm.v_fecha), _xlpm.c_cants, _xlfn._xlws.FILTER(_xlpm.rango_t, _xlpm.filtro*(_xlpm.rango_t&gt;0), 0), _xlpm.v_acums_pasadas, ABS(SUMIFS(E28:E$1000, D28:D$1000, _xlpm.v_ticker, E28:E$1000,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" spans="1:16" x14ac:dyDescent="0.45">
      <c r="A28" s="3" t="s">
        <v>74</v>
      </c>
      <c r="B28" s="4">
        <f t="shared" si="0"/>
        <v>46056</v>
      </c>
      <c r="C28" s="3" t="s">
        <v>90</v>
      </c>
      <c r="D28" s="3" t="s">
        <v>157</v>
      </c>
      <c r="E28" s="3">
        <v>0.48944193000000003</v>
      </c>
      <c r="F28" s="3">
        <v>26.52</v>
      </c>
      <c r="G28" s="3">
        <v>-13.01</v>
      </c>
      <c r="H28" s="5">
        <v>17.234999999999999</v>
      </c>
      <c r="I28" s="8">
        <f>SUMIF(D28:D$1000,D28,E28:E$1000)</f>
        <v>1.6464294100000001</v>
      </c>
      <c r="J28" s="9" cm="1">
        <f t="array" ref="J28">IF(I28&gt;IFERROR(_xlfn.XLOOKUP(D28,D29:D$1000,I29:I$1000,,0,1),0),(IFERROR(_xlfn.XLOOKUP(D28,D29:D$1000,J29:J$1000,,0,1),0)*IFERROR(_xlfn.XLOOKUP(D28,D29:D$1000,I29:I$1000,,0,1),0)-G28*H28)/I28,_xlfn.XLOOKUP(D28,D29:D$1000,J29:J$1000,,0,1))</f>
        <v>700.10037843043642</v>
      </c>
      <c r="K28" s="10" cm="1">
        <f t="array" ref="K28">IFERROR(IF(I28&lt;_xlfn.XLOOKUP(D28,D29:D$1000,I29:I$1000,,0,1),G28*H28-_xlfn.XLOOKUP(D28,D29:D$1000,J29:J$1000,,0,1)*-E28,0),0)</f>
        <v>0</v>
      </c>
      <c r="L28" s="56">
        <v>144.30699999999999</v>
      </c>
      <c r="M28" s="56">
        <v>143.58799999999999</v>
      </c>
      <c r="N28" s="59" cm="1">
        <f t="array" ref="N28">IF(I28&gt;_xlfn.XLOOKUP(D28,D29:D$1000,I29:I$1000,0,0,1),(_xlfn.XLOOKUP(D28,D29:D$1000,N29:N$1000,0,0,1)*MAX(1,L28/_xlfn.XLOOKUP(D28,D29:D$1000,L29:L$1000,L28,0,1))*_xlfn.XLOOKUP(D28,D29:D$1000,I29:I$1000,0,0,1)-G28*H28)/I28,_xlfn.XLOOKUP(D28,D29:D$1000,N29:N$1000,,0,1)*MAX(1,L28/_xlfn.XLOOKUP(D28,D29:D$1000,L29:L$1000,,0,1)))</f>
        <v>710.3500940150177</v>
      </c>
      <c r="O28" s="59" cm="1">
        <f t="array" ref="O28">IFERROR(IF(I28&lt;_xlfn.XLOOKUP(D28,D29:D$1000,I29:I$1000,,0,1),G28*H28-_xlfn.XLOOKUP(D28,D29:D$1000,N29:N$1000,,0,1)*-E28*MAX(1,M28/IFERROR(_xlfn.XLOOKUP(D28,D29:D$1000,L29:L$1000,,0,1),M28)),0),0)</f>
        <v>0</v>
      </c>
      <c r="P28" s="56" t="str" cm="1">
        <f t="array" ref="P28">IF(O28&lt;0,1,IF(E28&lt;0, _xlfn.LET(_xlpm.v_cant, ABS(E28), _xlpm.v_fecha, B28, _xlpm.v_ticker, D28, _xlpm.rango_f, B29:B$1000, _xlpm.rango_t, E29:E$1000, _xlpm.filtro, D29:D$1000=_xlpm.v_ticker, _xlpm.c_fechas, _xlfn._xlws.FILTER(_xlpm.rango_f, _xlpm.filtro*(_xlpm.rango_t&gt;0), _xlpm.v_fecha), _xlpm.c_cants, _xlfn._xlws.FILTER(_xlpm.rango_t, _xlpm.filtro*(_xlpm.rango_t&gt;0), 0), _xlpm.v_acums_pasadas, ABS(SUMIFS(E29:E$1000, D29:D$1000, _xlpm.v_ticker, E29:E$1000,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" spans="1:16" x14ac:dyDescent="0.45">
      <c r="A29" s="3" t="s">
        <v>85</v>
      </c>
      <c r="B29" s="4">
        <f t="shared" si="0"/>
        <v>46044</v>
      </c>
      <c r="C29" s="3" t="s">
        <v>90</v>
      </c>
      <c r="D29" s="3" t="s">
        <v>210</v>
      </c>
      <c r="E29" s="3">
        <v>0.24062322999999999</v>
      </c>
      <c r="F29" s="3">
        <v>331.6388</v>
      </c>
      <c r="G29" s="3">
        <v>-79.989999999999995</v>
      </c>
      <c r="H29" s="5">
        <v>17.482800000000001</v>
      </c>
      <c r="I29" s="8">
        <f>SUMIF(D29:D$1000,D29,E29:E$1000)</f>
        <v>0.24062322999999999</v>
      </c>
      <c r="J29" s="9" cm="1">
        <f t="array" ref="J29">IF(I29&gt;IFERROR(_xlfn.XLOOKUP(D29,D30:D$1000,I30:I$1000,,0,1),0),(IFERROR(_xlfn.XLOOKUP(D29,D30:D$1000,J30:J$1000,,0,1),0)*IFERROR(_xlfn.XLOOKUP(D29,D30:D$1000,I30:I$1000,,0,1),0)-G29*H29)/I29,_xlfn.XLOOKUP(D29,D30:D$1000,J30:J$1000,,0,1))</f>
        <v>5811.7795692460786</v>
      </c>
      <c r="K29" s="10" cm="1">
        <f t="array" ref="K29">IFERROR(IF(I29&lt;_xlfn.XLOOKUP(D29,D30:D$1000,I30:I$1000,,0,1),G29*H29-_xlfn.XLOOKUP(D29,D30:D$1000,J30:J$1000,,0,1)*-E29,0),0)</f>
        <v>0</v>
      </c>
      <c r="L29" s="56">
        <v>143.58799999999999</v>
      </c>
      <c r="M29" s="56">
        <v>143.042</v>
      </c>
      <c r="N29" s="59" cm="1">
        <f t="array" ref="N29">IF(I29&gt;_xlfn.XLOOKUP(D29,D30:D$1000,I30:I$1000,0,0,1),(_xlfn.XLOOKUP(D29,D30:D$1000,N30:N$1000,0,0,1)*MAX(1,L29/_xlfn.XLOOKUP(D29,D30:D$1000,L30:L$1000,L29,0,1))*_xlfn.XLOOKUP(D29,D30:D$1000,I30:I$1000,0,0,1)-G29*H29)/I29,_xlfn.XLOOKUP(D29,D30:D$1000,N30:N$1000,,0,1)*MAX(1,L29/_xlfn.XLOOKUP(D29,D30:D$1000,L30:L$1000,,0,1)))</f>
        <v>5811.7795692460786</v>
      </c>
      <c r="O29" s="59" cm="1">
        <f t="array" ref="O29">IFERROR(IF(I29&lt;_xlfn.XLOOKUP(D29,D30:D$1000,I30:I$1000,,0,1),G29*H29-_xlfn.XLOOKUP(D29,D30:D$1000,N30:N$1000,,0,1)*-E29*MAX(1,M29/IFERROR(_xlfn.XLOOKUP(D29,D30:D$1000,L30:L$1000,,0,1),M29)),0),0)</f>
        <v>0</v>
      </c>
      <c r="P29" s="56" t="str" cm="1">
        <f t="array" ref="P29">IF(O29&lt;0,1,IF(E29&lt;0, _xlfn.LET(_xlpm.v_cant, ABS(E29), _xlpm.v_fecha, B29, _xlpm.v_ticker, D29, _xlpm.rango_f, B30:B$1000, _xlpm.rango_t, E30:E$1000, _xlpm.filtro, D30:D$1000=_xlpm.v_ticker, _xlpm.c_fechas, _xlfn._xlws.FILTER(_xlpm.rango_f, _xlpm.filtro*(_xlpm.rango_t&gt;0), _xlpm.v_fecha), _xlpm.c_cants, _xlfn._xlws.FILTER(_xlpm.rango_t, _xlpm.filtro*(_xlpm.rango_t&gt;0), 0), _xlpm.v_acums_pasadas, ABS(SUMIFS(E30:E$1000, D30:D$1000, _xlpm.v_ticker, E30:E$1000,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" spans="1:16" x14ac:dyDescent="0.45">
      <c r="A30" s="3" t="s">
        <v>85</v>
      </c>
      <c r="B30" s="4">
        <f t="shared" si="0"/>
        <v>46044</v>
      </c>
      <c r="C30" s="3" t="s">
        <v>90</v>
      </c>
      <c r="D30" s="3" t="s">
        <v>93</v>
      </c>
      <c r="E30" s="3">
        <v>0.40042531999999997</v>
      </c>
      <c r="F30" s="3">
        <v>62.258800000000001</v>
      </c>
      <c r="G30" s="3">
        <v>-24.99</v>
      </c>
      <c r="H30" s="5">
        <v>17.482800000000001</v>
      </c>
      <c r="I30" s="8">
        <f>SUMIF(D30:D$1000,D30,E30:E$1000)</f>
        <v>1.9012216799999999</v>
      </c>
      <c r="J30" s="9" cm="1">
        <f t="array" ref="J30">IF(I30&gt;IFERROR(_xlfn.XLOOKUP(D30,D31:D$1000,I31:I$1000,,0,1),0),(IFERROR(_xlfn.XLOOKUP(D30,D31:D$1000,J31:J$1000,,0,1),0)*IFERROR(_xlfn.XLOOKUP(D30,D31:D$1000,I31:I$1000,,0,1),0)-G30*H30)/I30,_xlfn.XLOOKUP(D30,D31:D$1000,J31:J$1000,,0,1))</f>
        <v>1788.5976547458683</v>
      </c>
      <c r="K30" s="10" cm="1">
        <f t="array" ref="K30">IFERROR(IF(I30&lt;_xlfn.XLOOKUP(D30,D31:D$1000,I31:I$1000,,0,1),G30*H30-_xlfn.XLOOKUP(D30,D31:D$1000,J31:J$1000,,0,1)*-E30,0),0)</f>
        <v>0</v>
      </c>
      <c r="L30" s="56">
        <v>143.58799999999999</v>
      </c>
      <c r="M30" s="56">
        <v>143.042</v>
      </c>
      <c r="N30" s="59" cm="1">
        <f t="array" ref="N30">IF(I30&gt;_xlfn.XLOOKUP(D30,D31:D$1000,I31:I$1000,0,0,1),(_xlfn.XLOOKUP(D30,D31:D$1000,N31:N$1000,0,0,1)*MAX(1,L30/_xlfn.XLOOKUP(D30,D31:D$1000,L31:L$1000,L30,0,1))*_xlfn.XLOOKUP(D30,D31:D$1000,I31:I$1000,0,0,1)-G30*H30)/I30,_xlfn.XLOOKUP(D30,D31:D$1000,N31:N$1000,,0,1)*MAX(1,L30/_xlfn.XLOOKUP(D30,D31:D$1000,L31:L$1000,,0,1)))</f>
        <v>1867.190595150656</v>
      </c>
      <c r="O30" s="59" cm="1">
        <f t="array" ref="O30">IFERROR(IF(I30&lt;_xlfn.XLOOKUP(D30,D31:D$1000,I31:I$1000,,0,1),G30*H30-_xlfn.XLOOKUP(D30,D31:D$1000,N31:N$1000,,0,1)*-E30*MAX(1,M30/IFERROR(_xlfn.XLOOKUP(D30,D31:D$1000,L31:L$1000,,0,1),M30)),0),0)</f>
        <v>0</v>
      </c>
      <c r="P30" s="56" t="str" cm="1">
        <f t="array" ref="P30">IF(O30&lt;0,1,IF(E30&lt;0, _xlfn.LET(_xlpm.v_cant, ABS(E30), _xlpm.v_fecha, B30, _xlpm.v_ticker, D30, _xlpm.rango_f, B31:B$1000, _xlpm.rango_t, E31:E$1000, _xlpm.filtro, D31:D$1000=_xlpm.v_ticker, _xlpm.c_fechas, _xlfn._xlws.FILTER(_xlpm.rango_f, _xlpm.filtro*(_xlpm.rango_t&gt;0), _xlpm.v_fecha), _xlpm.c_cants, _xlfn._xlws.FILTER(_xlpm.rango_t, _xlpm.filtro*(_xlpm.rango_t&gt;0), 0), _xlpm.v_acums_pasadas, ABS(SUMIFS(E31:E$1000, D31:D$1000, _xlpm.v_ticker, E31:E$1000,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" spans="1:16" x14ac:dyDescent="0.45">
      <c r="A31" s="3" t="s">
        <v>84</v>
      </c>
      <c r="B31" s="4">
        <f t="shared" si="0"/>
        <v>46043</v>
      </c>
      <c r="C31" s="3" t="s">
        <v>90</v>
      </c>
      <c r="D31" s="3" t="s">
        <v>160</v>
      </c>
      <c r="E31" s="3">
        <v>0.20912211999999999</v>
      </c>
      <c r="F31" s="3">
        <v>95.398799999999994</v>
      </c>
      <c r="G31" s="3">
        <v>-19.989999999999998</v>
      </c>
      <c r="H31" s="5">
        <v>17.452000000000002</v>
      </c>
      <c r="I31" s="8">
        <f>SUMIF(D31:D$1000,D31,E31:E$1000)</f>
        <v>0.42856631999999995</v>
      </c>
      <c r="J31" s="9" cm="1">
        <f t="array" ref="J31">IF(I31&gt;IFERROR(_xlfn.XLOOKUP(D31,D32:D$1000,I32:I$1000,,0,1),0),(IFERROR(_xlfn.XLOOKUP(D31,D32:D$1000,J32:J$1000,,0,1),0)*IFERROR(_xlfn.XLOOKUP(D31,D32:D$1000,I32:I$1000,,0,1),0)-G31*H31)/I31,_xlfn.XLOOKUP(D31,D32:D$1000,J32:J$1000,,0,1))</f>
        <v>1696.5679314230763</v>
      </c>
      <c r="K31" s="10" cm="1">
        <f t="array" ref="K31">IFERROR(IF(I31&lt;_xlfn.XLOOKUP(D31,D32:D$1000,I32:I$1000,,0,1),G31*H31-_xlfn.XLOOKUP(D31,D32:D$1000,J32:J$1000,,0,1)*-E31,0),0)</f>
        <v>0</v>
      </c>
      <c r="L31" s="56">
        <v>143.58799999999999</v>
      </c>
      <c r="M31" s="56">
        <v>143.042</v>
      </c>
      <c r="N31" s="59" cm="1">
        <f t="array" ref="N31">IF(I31&gt;_xlfn.XLOOKUP(D31,D32:D$1000,I32:I$1000,0,0,1),(_xlfn.XLOOKUP(D31,D32:D$1000,N32:N$1000,0,0,1)*MAX(1,L31/_xlfn.XLOOKUP(D31,D32:D$1000,L32:L$1000,L31,0,1))*_xlfn.XLOOKUP(D31,D32:D$1000,I32:I$1000,0,0,1)-G31*H31)/I31,_xlfn.XLOOKUP(D31,D32:D$1000,N32:N$1000,,0,1)*MAX(1,L31/_xlfn.XLOOKUP(D31,D32:D$1000,L32:L$1000,,0,1)))</f>
        <v>1716.6793990073261</v>
      </c>
      <c r="O31" s="59" cm="1">
        <f t="array" ref="O31">IFERROR(IF(I31&lt;_xlfn.XLOOKUP(D31,D32:D$1000,I32:I$1000,,0,1),G31*H31-_xlfn.XLOOKUP(D31,D32:D$1000,N32:N$1000,,0,1)*-E31*MAX(1,M31/IFERROR(_xlfn.XLOOKUP(D31,D32:D$1000,L32:L$1000,,0,1),M31)),0),0)</f>
        <v>0</v>
      </c>
      <c r="P31" s="56" t="str" cm="1">
        <f t="array" ref="P31">IF(O31&lt;0,1,IF(E31&lt;0, _xlfn.LET(_xlpm.v_cant, ABS(E31), _xlpm.v_fecha, B31, _xlpm.v_ticker, D31, _xlpm.rango_f, B32:B$1000, _xlpm.rango_t, E32:E$1000, _xlpm.filtro, D32:D$1000=_xlpm.v_ticker, _xlpm.c_fechas, _xlfn._xlws.FILTER(_xlpm.rango_f, _xlpm.filtro*(_xlpm.rango_t&gt;0), _xlpm.v_fecha), _xlpm.c_cants, _xlfn._xlws.FILTER(_xlpm.rango_t, _xlpm.filtro*(_xlpm.rango_t&gt;0), 0), _xlpm.v_acums_pasadas, ABS(SUMIFS(E32:E$1000, D32:D$1000, _xlpm.v_ticker, E32:E$1000,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" spans="1:16" x14ac:dyDescent="0.45">
      <c r="A32" s="3" t="s">
        <v>83</v>
      </c>
      <c r="B32" s="4">
        <f t="shared" si="0"/>
        <v>46031</v>
      </c>
      <c r="C32" s="3" t="s">
        <v>91</v>
      </c>
      <c r="D32" s="3" t="s">
        <v>182</v>
      </c>
      <c r="E32" s="3">
        <v>-0.44700000000000001</v>
      </c>
      <c r="F32" s="3">
        <v>28.7712</v>
      </c>
      <c r="G32" s="3">
        <v>12.83</v>
      </c>
      <c r="H32" s="5">
        <v>17.984200000000001</v>
      </c>
      <c r="I32" s="8">
        <f>SUMIF(D32:D$1000,D32,E32:E$1000)</f>
        <v>2.5071999999998207E-4</v>
      </c>
      <c r="J32" s="9" cm="1">
        <f t="array" ref="J32">IF(I32&gt;IFERROR(_xlfn.XLOOKUP(D32,D33:D$1000,I33:I$1000,,0,1),0),(IFERROR(_xlfn.XLOOKUP(D32,D33:D$1000,J33:J$1000,,0,1),0)*IFERROR(_xlfn.XLOOKUP(D32,D33:D$1000,I33:I$1000,,0,1),0)-G32*H32)/I32,_xlfn.XLOOKUP(D32,D33:D$1000,J33:J$1000,,0,1))</f>
        <v>624.10584380948569</v>
      </c>
      <c r="K32" s="10" cm="1">
        <f t="array" ref="K32">IFERROR(IF(I32&lt;_xlfn.XLOOKUP(D32,D33:D$1000,I33:I$1000,,0,1),G32*H32-_xlfn.XLOOKUP(D32,D33:D$1000,J33:J$1000,,0,1)*-E32,0),0)</f>
        <v>-48.238026182840116</v>
      </c>
      <c r="L32" s="56">
        <v>143.58799999999999</v>
      </c>
      <c r="M32" s="56">
        <v>143.042</v>
      </c>
      <c r="N32" s="59" cm="1">
        <f t="array" ref="N32">IF(I32&gt;_xlfn.XLOOKUP(D32,D33:D$1000,I33:I$1000,0,0,1),(_xlfn.XLOOKUP(D32,D33:D$1000,N33:N$1000,0,0,1)*MAX(1,L32/_xlfn.XLOOKUP(D32,D33:D$1000,L33:L$1000,L32,0,1))*_xlfn.XLOOKUP(D32,D33:D$1000,I33:I$1000,0,0,1)-G32*H32)/I32,_xlfn.XLOOKUP(D32,D33:D$1000,N33:N$1000,,0,1)*MAX(1,L32/_xlfn.XLOOKUP(D32,D33:D$1000,L33:L$1000,,0,1)))</f>
        <v>636.5542683684929</v>
      </c>
      <c r="O32" s="59" cm="1">
        <f t="array" ref="O32">IFERROR(IF(I32&lt;_xlfn.XLOOKUP(D32,D33:D$1000,I33:I$1000,,0,1),G32*H32-_xlfn.XLOOKUP(D32,D33:D$1000,N33:N$1000,,0,1)*-E32*MAX(1,M32/IFERROR(_xlfn.XLOOKUP(D32,D33:D$1000,L33:L$1000,,0,1),M32)),0),0)</f>
        <v>-52.720496392795923</v>
      </c>
      <c r="P32" s="56" cm="1">
        <f t="array" ref="P32">IF(O32&lt;0,1,IF(E32&lt;0, _xlfn.LET(_xlpm.v_cant, ABS(E32), _xlpm.v_fecha, B32, _xlpm.v_ticker, D32, _xlpm.rango_f, B33:B$1000, _xlpm.rango_t, E33:E$1000, _xlpm.filtro, D33:D$1000=_xlpm.v_ticker, _xlpm.c_fechas, _xlfn._xlws.FILTER(_xlpm.rango_f, _xlpm.filtro*(_xlpm.rango_t&gt;0), _xlpm.v_fecha), _xlpm.c_cants, _xlfn._xlws.FILTER(_xlpm.rango_t, _xlpm.filtro*(_xlpm.rango_t&gt;0), 0), _xlpm.v_acums_pasadas, ABS(SUMIFS(E33:E$1000, D33:D$1000, _xlpm.v_ticker, E33:E$1000,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3" spans="1:16" x14ac:dyDescent="0.45">
      <c r="A33" s="3" t="s">
        <v>83</v>
      </c>
      <c r="B33" s="4">
        <f t="shared" si="0"/>
        <v>46031</v>
      </c>
      <c r="C33" s="3" t="s">
        <v>91</v>
      </c>
      <c r="D33" s="3" t="s">
        <v>203</v>
      </c>
      <c r="E33" s="3">
        <v>-1</v>
      </c>
      <c r="F33" s="3">
        <v>9.3739000000000008</v>
      </c>
      <c r="G33" s="3">
        <v>9.3699999999999992</v>
      </c>
      <c r="H33" s="5">
        <v>17.984200000000001</v>
      </c>
      <c r="I33" s="8">
        <f>SUMIF(D33:D$1000,D33,E33:E$1000)</f>
        <v>2.0195999999997327E-4</v>
      </c>
      <c r="J33" s="9" cm="1">
        <f t="array" ref="J33">IF(I33&gt;IFERROR(_xlfn.XLOOKUP(D33,D34:D$1000,I34:I$1000,,0,1),0),(IFERROR(_xlfn.XLOOKUP(D33,D34:D$1000,J34:J$1000,,0,1),0)*IFERROR(_xlfn.XLOOKUP(D33,D34:D$1000,I34:I$1000,,0,1),0)-G33*H33)/I33,_xlfn.XLOOKUP(D33,D34:D$1000,J34:J$1000,,0,1))</f>
        <v>202.01941991149576</v>
      </c>
      <c r="K33" s="10" cm="1">
        <f t="array" ref="K33">IFERROR(IF(I33&lt;_xlfn.XLOOKUP(D33,D34:D$1000,I34:I$1000,,0,1),G33*H33-_xlfn.XLOOKUP(D33,D34:D$1000,J34:J$1000,,0,1)*-E33,0),0)</f>
        <v>-33.507465911495757</v>
      </c>
      <c r="L33" s="56">
        <v>143.58799999999999</v>
      </c>
      <c r="M33" s="56">
        <v>143.042</v>
      </c>
      <c r="N33" s="59" cm="1">
        <f t="array" ref="N33">IF(I33&gt;_xlfn.XLOOKUP(D33,D34:D$1000,I34:I$1000,0,0,1),(_xlfn.XLOOKUP(D33,D34:D$1000,N34:N$1000,0,0,1)*MAX(1,L33/_xlfn.XLOOKUP(D33,D34:D$1000,L34:L$1000,L33,0,1))*_xlfn.XLOOKUP(D33,D34:D$1000,I34:I$1000,0,0,1)-G33*H33)/I33,_xlfn.XLOOKUP(D33,D34:D$1000,N34:N$1000,,0,1)*MAX(1,L33/_xlfn.XLOOKUP(D33,D34:D$1000,L34:L$1000,,0,1)))</f>
        <v>205.4403738482535</v>
      </c>
      <c r="O33" s="59" cm="1">
        <f t="array" ref="O33">IFERROR(IF(I33&lt;_xlfn.XLOOKUP(D33,D34:D$1000,I34:I$1000,,0,1),G33*H33-_xlfn.XLOOKUP(D33,D34:D$1000,N34:N$1000,,0,1)*-E33*MAX(1,M33/IFERROR(_xlfn.XLOOKUP(D33,D34:D$1000,L34:L$1000,,0,1),M33)),0),0)</f>
        <v>-36.928419848253498</v>
      </c>
      <c r="P33" s="56" cm="1">
        <f t="array" ref="P33">IF(O33&lt;0,1,IF(E33&lt;0, _xlfn.LET(_xlpm.v_cant, ABS(E33), _xlpm.v_fecha, B33, _xlpm.v_ticker, D33, _xlpm.rango_f, B34:B$1000, _xlpm.rango_t, E34:E$1000, _xlpm.filtro, D34:D$1000=_xlpm.v_ticker, _xlpm.c_fechas, _xlfn._xlws.FILTER(_xlpm.rango_f, _xlpm.filtro*(_xlpm.rango_t&gt;0), _xlpm.v_fecha), _xlpm.c_cants, _xlfn._xlws.FILTER(_xlpm.rango_t, _xlpm.filtro*(_xlpm.rango_t&gt;0), 0), _xlpm.v_acums_pasadas, ABS(SUMIFS(E34:E$1000, D34:D$1000, _xlpm.v_ticker, E34:E$1000,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4" spans="1:16" x14ac:dyDescent="0.45">
      <c r="A34" s="3" t="s">
        <v>83</v>
      </c>
      <c r="B34" s="4">
        <f t="shared" si="0"/>
        <v>46031</v>
      </c>
      <c r="C34" s="3" t="s">
        <v>91</v>
      </c>
      <c r="D34" s="3" t="s">
        <v>203</v>
      </c>
      <c r="E34" s="3">
        <v>-0.153</v>
      </c>
      <c r="F34" s="3">
        <v>9.3739000000000008</v>
      </c>
      <c r="G34" s="3">
        <v>1.41</v>
      </c>
      <c r="H34" s="5">
        <v>17.984200000000001</v>
      </c>
      <c r="I34" s="8">
        <f>SUMIF(D34:D$1000,D34,E34:E$1000)</f>
        <v>1.0002019600000001</v>
      </c>
      <c r="J34" s="9" cm="1">
        <f t="array" ref="J34">IF(I34&gt;IFERROR(_xlfn.XLOOKUP(D34,D35:D$1000,I35:I$1000,,0,1),0),(IFERROR(_xlfn.XLOOKUP(D34,D35:D$1000,J35:J$1000,,0,1),0)*IFERROR(_xlfn.XLOOKUP(D34,D35:D$1000,I35:I$1000,,0,1),0)-G34*H34)/I34,_xlfn.XLOOKUP(D34,D35:D$1000,J35:J$1000,,0,1))</f>
        <v>202.01941991149576</v>
      </c>
      <c r="K34" s="10" cm="1">
        <f t="array" ref="K34">IFERROR(IF(I34&lt;_xlfn.XLOOKUP(D34,D35:D$1000,I35:I$1000,,0,1),G34*H34-_xlfn.XLOOKUP(D34,D35:D$1000,J35:J$1000,,0,1)*-E34,0),0)</f>
        <v>-5.5512492464588519</v>
      </c>
      <c r="L34" s="56">
        <v>143.58799999999999</v>
      </c>
      <c r="M34" s="56">
        <v>143.042</v>
      </c>
      <c r="N34" s="59" cm="1">
        <f t="array" ref="N34">IF(I34&gt;_xlfn.XLOOKUP(D34,D35:D$1000,I35:I$1000,0,0,1),(_xlfn.XLOOKUP(D34,D35:D$1000,N35:N$1000,0,0,1)*MAX(1,L34/_xlfn.XLOOKUP(D34,D35:D$1000,L35:L$1000,L34,0,1))*_xlfn.XLOOKUP(D34,D35:D$1000,I35:I$1000,0,0,1)-G34*H34)/I34,_xlfn.XLOOKUP(D34,D35:D$1000,N35:N$1000,,0,1)*MAX(1,L34/_xlfn.XLOOKUP(D34,D35:D$1000,L35:L$1000,,0,1)))</f>
        <v>205.4403738482535</v>
      </c>
      <c r="O34" s="59" cm="1">
        <f t="array" ref="O34">IFERROR(IF(I34&lt;_xlfn.XLOOKUP(D34,D35:D$1000,I35:I$1000,,0,1),G34*H34-_xlfn.XLOOKUP(D34,D35:D$1000,N35:N$1000,,0,1)*-E34*MAX(1,M34/IFERROR(_xlfn.XLOOKUP(D34,D35:D$1000,L35:L$1000,,0,1),M34)),0),0)</f>
        <v>-5.9551321331329099</v>
      </c>
      <c r="P34" s="56" cm="1">
        <f t="array" ref="P34">IF(O34&lt;0,1,IF(E34&lt;0, _xlfn.LET(_xlpm.v_cant, ABS(E34), _xlpm.v_fecha, B34, _xlpm.v_ticker, D34, _xlpm.rango_f, B35:B$1000, _xlpm.rango_t, E35:E$1000, _xlpm.filtro, D35:D$1000=_xlpm.v_ticker, _xlpm.c_fechas, _xlfn._xlws.FILTER(_xlpm.rango_f, _xlpm.filtro*(_xlpm.rango_t&gt;0), _xlpm.v_fecha), _xlpm.c_cants, _xlfn._xlws.FILTER(_xlpm.rango_t, _xlpm.filtro*(_xlpm.rango_t&gt;0), 0), _xlpm.v_acums_pasadas, ABS(SUMIFS(E35:E$1000, D35:D$1000, _xlpm.v_ticker, E35:E$1000,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5" spans="1:16" x14ac:dyDescent="0.45">
      <c r="A35" s="3" t="s">
        <v>83</v>
      </c>
      <c r="B35" s="4">
        <f t="shared" si="0"/>
        <v>46031</v>
      </c>
      <c r="C35" s="3" t="s">
        <v>91</v>
      </c>
      <c r="D35" s="3" t="s">
        <v>97</v>
      </c>
      <c r="E35" s="3">
        <v>-0.498</v>
      </c>
      <c r="F35" s="3">
        <v>40.3812</v>
      </c>
      <c r="G35" s="3">
        <v>20.059999999999999</v>
      </c>
      <c r="H35" s="5">
        <v>17.984200000000001</v>
      </c>
      <c r="I35" s="8">
        <f>SUMIF(D35:D$1000,D35,E35:E$1000)</f>
        <v>11.76367188</v>
      </c>
      <c r="J35" s="9" cm="1">
        <f t="array" ref="J35">IF(I35&gt;IFERROR(_xlfn.XLOOKUP(D35,D36:D$1000,I36:I$1000,,0,1),0),(IFERROR(_xlfn.XLOOKUP(D35,D36:D$1000,J36:J$1000,,0,1),0)*IFERROR(_xlfn.XLOOKUP(D35,D36:D$1000,I36:I$1000,,0,1),0)-G35*H35)/I35,_xlfn.XLOOKUP(D35,D36:D$1000,J36:J$1000,,0,1))</f>
        <v>268.7792054466147</v>
      </c>
      <c r="K35" s="10" cm="1">
        <f t="array" ref="K35">IFERROR(IF(I35&lt;_xlfn.XLOOKUP(D35,D36:D$1000,I36:I$1000,,0,1),G35*H35-_xlfn.XLOOKUP(D35,D36:D$1000,J36:J$1000,,0,1)*-E35,0),0)</f>
        <v>226.91100768758591</v>
      </c>
      <c r="L35" s="56">
        <v>143.58799999999999</v>
      </c>
      <c r="M35" s="56">
        <v>143.042</v>
      </c>
      <c r="N35" s="59" cm="1">
        <f t="array" ref="N35">IF(I35&gt;_xlfn.XLOOKUP(D35,D36:D$1000,I36:I$1000,0,0,1),(_xlfn.XLOOKUP(D35,D36:D$1000,N36:N$1000,0,0,1)*MAX(1,L35/_xlfn.XLOOKUP(D35,D36:D$1000,L36:L$1000,L35,0,1))*_xlfn.XLOOKUP(D35,D36:D$1000,I36:I$1000,0,0,1)-G35*H35)/I35,_xlfn.XLOOKUP(D35,D36:D$1000,N36:N$1000,,0,1)*MAX(1,L35/_xlfn.XLOOKUP(D35,D36:D$1000,L36:L$1000,,0,1)))</f>
        <v>279.18943082764935</v>
      </c>
      <c r="O35" s="59" cm="1">
        <f t="array" ref="O35">IFERROR(IF(I35&lt;_xlfn.XLOOKUP(D35,D36:D$1000,I36:I$1000,,0,1),G35*H35-_xlfn.XLOOKUP(D35,D36:D$1000,N36:N$1000,,0,1)*-E35*MAX(1,M35/IFERROR(_xlfn.XLOOKUP(D35,D36:D$1000,L36:L$1000,,0,1),M35)),0),0)</f>
        <v>222.25540753740279</v>
      </c>
      <c r="P35" s="56" cm="1">
        <f t="array" ref="P35">IF(O35&lt;0,1,IF(E35&lt;0, _xlfn.LET(_xlpm.v_cant, ABS(E35), _xlpm.v_fecha, B35, _xlpm.v_ticker, D35, _xlpm.rango_f, B36:B$1000, _xlpm.rango_t, E36:E$1000, _xlpm.filtro, D36:D$1000=_xlpm.v_ticker, _xlpm.c_fechas, _xlfn._xlws.FILTER(_xlpm.rango_f, _xlpm.filtro*(_xlpm.rango_t&gt;0), _xlpm.v_fecha), _xlpm.c_cants, _xlfn._xlws.FILTER(_xlpm.rango_t, _xlpm.filtro*(_xlpm.rango_t&gt;0), 0), _xlpm.v_acums_pasadas, ABS(SUMIFS(E36:E$1000, D36:D$1000, _xlpm.v_ticker, E36:E$1000,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6" spans="1:16" x14ac:dyDescent="0.45">
      <c r="A36" s="3" t="s">
        <v>82</v>
      </c>
      <c r="B36" s="4">
        <f t="shared" si="0"/>
        <v>46029</v>
      </c>
      <c r="C36" s="3" t="s">
        <v>91</v>
      </c>
      <c r="D36" s="3" t="s">
        <v>177</v>
      </c>
      <c r="E36" s="3">
        <v>-0.56100000000000005</v>
      </c>
      <c r="F36" s="3">
        <v>55.731200000000001</v>
      </c>
      <c r="G36" s="3">
        <v>31.2</v>
      </c>
      <c r="H36" s="5">
        <v>17.9587</v>
      </c>
      <c r="I36" s="8">
        <f>SUMIF(D36:D$1000,D36,E36:E$1000)</f>
        <v>6.3484999999996461E-4</v>
      </c>
      <c r="J36" s="9" cm="1">
        <f t="array" ref="J36">IF(I36&gt;IFERROR(_xlfn.XLOOKUP(D36,D37:D$1000,I37:I$1000,,0,1),0),(IFERROR(_xlfn.XLOOKUP(D36,D37:D$1000,J37:J$1000,,0,1),0)*IFERROR(_xlfn.XLOOKUP(D36,D37:D$1000,I37:I$1000,,0,1),0)-G36*H36)/I36,_xlfn.XLOOKUP(D36,D37:D$1000,J37:J$1000,,0,1))</f>
        <v>998.62542717924282</v>
      </c>
      <c r="K36" s="10" cm="1">
        <f t="array" ref="K36">IFERROR(IF(I36&lt;_xlfn.XLOOKUP(D36,D37:D$1000,I37:I$1000,,0,1),G36*H36-_xlfn.XLOOKUP(D36,D37:D$1000,J37:J$1000,,0,1)*-E36,0),0)</f>
        <v>8.2575352444678174E-2</v>
      </c>
      <c r="L36" s="56">
        <v>143.58799999999999</v>
      </c>
      <c r="M36" s="56">
        <v>143.042</v>
      </c>
      <c r="N36" s="59" cm="1">
        <f t="array" ref="N36">IF(I36&gt;_xlfn.XLOOKUP(D36,D37:D$1000,I37:I$1000,0,0,1),(_xlfn.XLOOKUP(D36,D37:D$1000,N37:N$1000,0,0,1)*MAX(1,L36/_xlfn.XLOOKUP(D36,D37:D$1000,L37:L$1000,L36,0,1))*_xlfn.XLOOKUP(D36,D37:D$1000,I37:I$1000,0,0,1)-G36*H36)/I36,_xlfn.XLOOKUP(D36,D37:D$1000,N37:N$1000,,0,1)*MAX(1,L36/_xlfn.XLOOKUP(D36,D37:D$1000,L37:L$1000,,0,1)))</f>
        <v>1013.7070217451472</v>
      </c>
      <c r="O36" s="59" cm="1">
        <f t="array" ref="O36">IFERROR(IF(I36&lt;_xlfn.XLOOKUP(D36,D37:D$1000,I37:I$1000,,0,1),G36*H36-_xlfn.XLOOKUP(D36,D37:D$1000,N37:N$1000,,0,1)*-E36*MAX(1,M36/IFERROR(_xlfn.XLOOKUP(D36,D37:D$1000,L37:L$1000,,0,1),M36)),0),0)</f>
        <v>-6.2157305874260373</v>
      </c>
      <c r="P36" s="56" cm="1">
        <f t="array" ref="P36">IF(O36&lt;0,1,IF(E36&lt;0, _xlfn.LET(_xlpm.v_cant, ABS(E36), _xlpm.v_fecha, B36, _xlpm.v_ticker, D36, _xlpm.rango_f, B37:B$1000, _xlpm.rango_t, E37:E$1000, _xlpm.filtro, D37:D$1000=_xlpm.v_ticker, _xlpm.c_fechas, _xlfn._xlws.FILTER(_xlpm.rango_f, _xlpm.filtro*(_xlpm.rango_t&gt;0), _xlpm.v_fecha), _xlpm.c_cants, _xlfn._xlws.FILTER(_xlpm.rango_t, _xlpm.filtro*(_xlpm.rango_t&gt;0), 0), _xlpm.v_acums_pasadas, ABS(SUMIFS(E37:E$1000, D37:D$1000, _xlpm.v_ticker, E37:E$1000,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7" spans="1:16" x14ac:dyDescent="0.45">
      <c r="A37" s="3" t="s">
        <v>81</v>
      </c>
      <c r="B37" s="4">
        <f t="shared" si="0"/>
        <v>46024</v>
      </c>
      <c r="C37" s="3" t="s">
        <v>91</v>
      </c>
      <c r="D37" s="3" t="s">
        <v>201</v>
      </c>
      <c r="E37" s="3">
        <v>-0.67200000000000004</v>
      </c>
      <c r="F37" s="3">
        <v>12.5512</v>
      </c>
      <c r="G37" s="3">
        <v>8.41</v>
      </c>
      <c r="H37" s="5">
        <v>17.880299999999998</v>
      </c>
      <c r="I37" s="8">
        <f>SUMIF(D37:D$1000,D37,E37:E$1000)</f>
        <v>4.0831999999990654E-4</v>
      </c>
      <c r="J37" s="9" cm="1">
        <f t="array" ref="J37">IF(I37&gt;IFERROR(_xlfn.XLOOKUP(D37,D38:D$1000,I38:I$1000,,0,1),0),(IFERROR(_xlfn.XLOOKUP(D37,D38:D$1000,J38:J$1000,,0,1),0)*IFERROR(_xlfn.XLOOKUP(D37,D38:D$1000,I38:I$1000,,0,1),0)-G37*H37)/I37,_xlfn.XLOOKUP(D37,D38:D$1000,J38:J$1000,,0,1))</f>
        <v>272.59258630232296</v>
      </c>
      <c r="K37" s="10" cm="1">
        <f t="array" ref="K37">IFERROR(IF(I37&lt;_xlfn.XLOOKUP(D37,D38:D$1000,I38:I$1000,,0,1),G37*H37-_xlfn.XLOOKUP(D37,D38:D$1000,J38:J$1000,,0,1)*-E37,0),0)</f>
        <v>-32.80889499516104</v>
      </c>
      <c r="L37" s="56">
        <v>143.58799999999999</v>
      </c>
      <c r="M37" s="56">
        <v>143.042</v>
      </c>
      <c r="N37" s="59" cm="1">
        <f t="array" ref="N37">IF(I37&gt;_xlfn.XLOOKUP(D37,D38:D$1000,I38:I$1000,0,0,1),(_xlfn.XLOOKUP(D37,D38:D$1000,N38:N$1000,0,0,1)*MAX(1,L37/_xlfn.XLOOKUP(D37,D38:D$1000,L38:L$1000,L37,0,1))*_xlfn.XLOOKUP(D37,D38:D$1000,I38:I$1000,0,0,1)-G37*H37)/I37,_xlfn.XLOOKUP(D37,D38:D$1000,N38:N$1000,,0,1)*MAX(1,L37/_xlfn.XLOOKUP(D37,D38:D$1000,L38:L$1000,,0,1)))</f>
        <v>276.20899513067678</v>
      </c>
      <c r="O37" s="59" cm="1">
        <f t="array" ref="O37">IFERROR(IF(I37&lt;_xlfn.XLOOKUP(D37,D38:D$1000,I38:I$1000,,0,1),G37*H37-_xlfn.XLOOKUP(D37,D38:D$1000,N38:N$1000,,0,1)*-E37*MAX(1,M37/IFERROR(_xlfn.XLOOKUP(D37,D38:D$1000,L38:L$1000,,0,1),M37)),0),0)</f>
        <v>-34.53332183631008</v>
      </c>
      <c r="P37" s="56" cm="1">
        <f t="array" ref="P37">IF(O37&lt;0,1,IF(E37&lt;0, _xlfn.LET(_xlpm.v_cant, ABS(E37), _xlpm.v_fecha, B37, _xlpm.v_ticker, D37, _xlpm.rango_f, B38:B$1000, _xlpm.rango_t, E38:E$1000, _xlpm.filtro, D38:D$1000=_xlpm.v_ticker, _xlpm.c_fechas, _xlfn._xlws.FILTER(_xlpm.rango_f, _xlpm.filtro*(_xlpm.rango_t&gt;0), _xlpm.v_fecha), _xlpm.c_cants, _xlfn._xlws.FILTER(_xlpm.rango_t, _xlpm.filtro*(_xlpm.rango_t&gt;0), 0), _xlpm.v_acums_pasadas, ABS(SUMIFS(E38:E$1000, D38:D$1000, _xlpm.v_ticker, E38:E$1000,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8" spans="1:16" x14ac:dyDescent="0.45">
      <c r="A38" s="3" t="s">
        <v>81</v>
      </c>
      <c r="B38" s="4">
        <f t="shared" si="0"/>
        <v>46024</v>
      </c>
      <c r="C38" s="3" t="s">
        <v>91</v>
      </c>
      <c r="D38" s="3" t="s">
        <v>119</v>
      </c>
      <c r="E38" s="3">
        <v>-0.58299999999999996</v>
      </c>
      <c r="F38" s="3">
        <v>45.491199999999999</v>
      </c>
      <c r="G38" s="3">
        <v>26.46</v>
      </c>
      <c r="H38" s="5">
        <v>17.880299999999998</v>
      </c>
      <c r="I38" s="8">
        <f>SUMIF(D38:D$1000,D38,E38:E$1000)</f>
        <v>1.1100000000041632E-5</v>
      </c>
      <c r="J38" s="9" cm="1">
        <f t="array" ref="J38">IF(I38&gt;IFERROR(_xlfn.XLOOKUP(D38,D39:D$1000,I39:I$1000,,0,1),0),(IFERROR(_xlfn.XLOOKUP(D38,D39:D$1000,J39:J$1000,,0,1),0)*IFERROR(_xlfn.XLOOKUP(D38,D39:D$1000,I39:I$1000,,0,1),0)-G38*H38)/I38,_xlfn.XLOOKUP(D38,D39:D$1000,J39:J$1000,,0,1))</f>
        <v>895.23608630677688</v>
      </c>
      <c r="K38" s="10" cm="1">
        <f t="array" ref="K38">IFERROR(IF(I38&lt;_xlfn.XLOOKUP(D38,D39:D$1000,I39:I$1000,,0,1),G38*H38-_xlfn.XLOOKUP(D38,D39:D$1000,J39:J$1000,,0,1)*-E38,0),0)</f>
        <v>-48.809900316850928</v>
      </c>
      <c r="L38" s="56">
        <v>143.58799999999999</v>
      </c>
      <c r="M38" s="56">
        <v>143.042</v>
      </c>
      <c r="N38" s="59" cm="1">
        <f t="array" ref="N38">IF(I38&gt;_xlfn.XLOOKUP(D38,D39:D$1000,I39:I$1000,0,0,1),(_xlfn.XLOOKUP(D38,D39:D$1000,N39:N$1000,0,0,1)*MAX(1,L38/_xlfn.XLOOKUP(D38,D39:D$1000,L39:L$1000,L38,0,1))*_xlfn.XLOOKUP(D38,D39:D$1000,I39:I$1000,0,0,1)-G38*H38)/I38,_xlfn.XLOOKUP(D38,D39:D$1000,N39:N$1000,,0,1)*MAX(1,L38/_xlfn.XLOOKUP(D38,D39:D$1000,L39:L$1000,,0,1)))</f>
        <v>939.46530798241201</v>
      </c>
      <c r="O38" s="59" cm="1">
        <f t="array" ref="O38">IFERROR(IF(I38&lt;_xlfn.XLOOKUP(D38,D39:D$1000,I39:I$1000,,0,1),G38*H38-_xlfn.XLOOKUP(D38,D39:D$1000,N39:N$1000,,0,1)*-E38*MAX(1,M38/IFERROR(_xlfn.XLOOKUP(D38,D39:D$1000,L39:L$1000,,0,1),M38)),0),0)</f>
        <v>-72.512850549996926</v>
      </c>
      <c r="P38" s="56" cm="1">
        <f t="array" ref="P38">IF(O38&lt;0,1,IF(E38&lt;0, _xlfn.LET(_xlpm.v_cant, ABS(E38), _xlpm.v_fecha, B38, _xlpm.v_ticker, D38, _xlpm.rango_f, B39:B$1000, _xlpm.rango_t, E39:E$1000, _xlpm.filtro, D39:D$1000=_xlpm.v_ticker, _xlpm.c_fechas, _xlfn._xlws.FILTER(_xlpm.rango_f, _xlpm.filtro*(_xlpm.rango_t&gt;0), _xlpm.v_fecha), _xlpm.c_cants, _xlfn._xlws.FILTER(_xlpm.rango_t, _xlpm.filtro*(_xlpm.rango_t&gt;0), 0), _xlpm.v_acums_pasadas, ABS(SUMIFS(E39:E$1000, D39:D$1000, _xlpm.v_ticker, E39:E$1000,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9" spans="1:16" x14ac:dyDescent="0.45">
      <c r="A39" s="3" t="s">
        <v>41</v>
      </c>
      <c r="B39" s="4">
        <f t="shared" si="0"/>
        <v>46021</v>
      </c>
      <c r="C39" s="3" t="s">
        <v>90</v>
      </c>
      <c r="D39" s="3" t="s">
        <v>161</v>
      </c>
      <c r="E39" s="3">
        <v>0.54510661000000005</v>
      </c>
      <c r="F39" s="3">
        <v>18.29</v>
      </c>
      <c r="G39" s="3">
        <v>-9.99</v>
      </c>
      <c r="H39" s="5">
        <v>17.9528</v>
      </c>
      <c r="I39" s="8">
        <f>SUMIF(D39:D$1000,D39,E39:E$1000)</f>
        <v>3.6011525</v>
      </c>
      <c r="J39" s="9" cm="1">
        <f t="array" ref="J39">IF(I39&gt;IFERROR(_xlfn.XLOOKUP(D39,D40:D$1000,I40:I$1000,,0,1),0),(IFERROR(_xlfn.XLOOKUP(D39,D40:D$1000,J40:J$1000,,0,1),0)*IFERROR(_xlfn.XLOOKUP(D39,D40:D$1000,I40:I$1000,,0,1),0)-G39*H39)/I39,_xlfn.XLOOKUP(D39,D40:D$1000,J40:J$1000,,0,1))</f>
        <v>177.12593260074379</v>
      </c>
      <c r="K39" s="10" cm="1">
        <f t="array" ref="K39">IFERROR(IF(I39&lt;_xlfn.XLOOKUP(D39,D40:D$1000,I40:I$1000,,0,1),G39*H39-_xlfn.XLOOKUP(D39,D40:D$1000,J40:J$1000,,0,1)*-E39,0),0)</f>
        <v>0</v>
      </c>
      <c r="L39" s="56">
        <v>143.042</v>
      </c>
      <c r="M39" s="56">
        <v>142.64500000000001</v>
      </c>
      <c r="N39" s="59" cm="1">
        <f t="array" ref="N39">IF(I39&gt;_xlfn.XLOOKUP(D39,D40:D$1000,I40:I$1000,0,0,1),(_xlfn.XLOOKUP(D39,D40:D$1000,N40:N$1000,0,0,1)*MAX(1,L39/_xlfn.XLOOKUP(D39,D40:D$1000,L40:L$1000,L39,0,1))*_xlfn.XLOOKUP(D39,D40:D$1000,I40:I$1000,0,0,1)-G39*H39)/I39,_xlfn.XLOOKUP(D39,D40:D$1000,N40:N$1000,,0,1)*MAX(1,L39/_xlfn.XLOOKUP(D39,D40:D$1000,L40:L$1000,,0,1)))</f>
        <v>178.32451483021512</v>
      </c>
      <c r="O39" s="59" cm="1">
        <f t="array" ref="O39">IFERROR(IF(I39&lt;_xlfn.XLOOKUP(D39,D40:D$1000,I40:I$1000,,0,1),G39*H39-_xlfn.XLOOKUP(D39,D40:D$1000,N40:N$1000,,0,1)*-E39*MAX(1,M39/IFERROR(_xlfn.XLOOKUP(D39,D40:D$1000,L40:L$1000,,0,1),M39)),0),0)</f>
        <v>0</v>
      </c>
      <c r="P39" s="56" t="str" cm="1">
        <f t="array" ref="P39">IF(O39&lt;0,1,IF(E39&lt;0, _xlfn.LET(_xlpm.v_cant, ABS(E39), _xlpm.v_fecha, B39, _xlpm.v_ticker, D39, _xlpm.rango_f, B40:B$1000, _xlpm.rango_t, E40:E$1000, _xlpm.filtro, D40:D$1000=_xlpm.v_ticker, _xlpm.c_fechas, _xlfn._xlws.FILTER(_xlpm.rango_f, _xlpm.filtro*(_xlpm.rango_t&gt;0), _xlpm.v_fecha), _xlpm.c_cants, _xlfn._xlws.FILTER(_xlpm.rango_t, _xlpm.filtro*(_xlpm.rango_t&gt;0), 0), _xlpm.v_acums_pasadas, ABS(SUMIFS(E40:E$1000, D40:D$1000, _xlpm.v_ticker, E40:E$1000,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0" spans="1:16" x14ac:dyDescent="0.45">
      <c r="A40" s="3" t="s">
        <v>41</v>
      </c>
      <c r="B40" s="4">
        <f t="shared" si="0"/>
        <v>46021</v>
      </c>
      <c r="C40" s="3" t="s">
        <v>90</v>
      </c>
      <c r="D40" s="3" t="s">
        <v>154</v>
      </c>
      <c r="E40" s="3">
        <v>3</v>
      </c>
      <c r="F40" s="3">
        <v>3.3186</v>
      </c>
      <c r="G40" s="3">
        <v>-9.9600000000000009</v>
      </c>
      <c r="H40" s="5">
        <v>17.9528</v>
      </c>
      <c r="I40" s="8">
        <f>SUMIF(D40:D$1000,D40,E40:E$1000)</f>
        <v>13.00427891</v>
      </c>
      <c r="J40" s="9" cm="1">
        <f t="array" ref="J40">IF(I40&gt;IFERROR(_xlfn.XLOOKUP(D40,D41:D$1000,I41:I$1000,,0,1),0),(IFERROR(_xlfn.XLOOKUP(D40,D41:D$1000,J41:J$1000,,0,1),0)*IFERROR(_xlfn.XLOOKUP(D40,D41:D$1000,I41:I$1000,,0,1),0)-G40*H40)/I40,_xlfn.XLOOKUP(D40,D41:D$1000,J41:J$1000,,0,1))</f>
        <v>38.303919459691137</v>
      </c>
      <c r="K40" s="10" cm="1">
        <f t="array" ref="K40">IFERROR(IF(I40&lt;_xlfn.XLOOKUP(D40,D41:D$1000,I41:I$1000,,0,1),G40*H40-_xlfn.XLOOKUP(D40,D41:D$1000,J41:J$1000,,0,1)*-E40,0),0)</f>
        <v>0</v>
      </c>
      <c r="L40" s="56">
        <v>143.042</v>
      </c>
      <c r="M40" s="56">
        <v>142.64500000000001</v>
      </c>
      <c r="N40" s="59" cm="1">
        <f t="array" ref="N40">IF(I40&gt;_xlfn.XLOOKUP(D40,D41:D$1000,I41:I$1000,0,0,1),(_xlfn.XLOOKUP(D40,D41:D$1000,N41:N$1000,0,0,1)*MAX(1,L40/_xlfn.XLOOKUP(D40,D41:D$1000,L41:L$1000,L40,0,1))*_xlfn.XLOOKUP(D40,D41:D$1000,I41:I$1000,0,0,1)-G40*H40)/I40,_xlfn.XLOOKUP(D40,D41:D$1000,N41:N$1000,,0,1)*MAX(1,L40/_xlfn.XLOOKUP(D40,D41:D$1000,L41:L$1000,,0,1)))</f>
        <v>38.682393616968248</v>
      </c>
      <c r="O40" s="59" cm="1">
        <f t="array" ref="O40">IFERROR(IF(I40&lt;_xlfn.XLOOKUP(D40,D41:D$1000,I41:I$1000,,0,1),G40*H40-_xlfn.XLOOKUP(D40,D41:D$1000,N41:N$1000,,0,1)*-E40*MAX(1,M40/IFERROR(_xlfn.XLOOKUP(D40,D41:D$1000,L41:L$1000,,0,1),M40)),0),0)</f>
        <v>0</v>
      </c>
      <c r="P40" s="56" t="str" cm="1">
        <f t="array" ref="P40">IF(O40&lt;0,1,IF(E40&lt;0, _xlfn.LET(_xlpm.v_cant, ABS(E40), _xlpm.v_fecha, B40, _xlpm.v_ticker, D40, _xlpm.rango_f, B41:B$1000, _xlpm.rango_t, E41:E$1000, _xlpm.filtro, D41:D$1000=_xlpm.v_ticker, _xlpm.c_fechas, _xlfn._xlws.FILTER(_xlpm.rango_f, _xlpm.filtro*(_xlpm.rango_t&gt;0), _xlpm.v_fecha), _xlpm.c_cants, _xlfn._xlws.FILTER(_xlpm.rango_t, _xlpm.filtro*(_xlpm.rango_t&gt;0), 0), _xlpm.v_acums_pasadas, ABS(SUMIFS(E41:E$1000, D41:D$1000, _xlpm.v_ticker, E41:E$1000,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1" spans="1:16" x14ac:dyDescent="0.45">
      <c r="A41" s="3" t="s">
        <v>41</v>
      </c>
      <c r="B41" s="4">
        <f t="shared" si="0"/>
        <v>46021</v>
      </c>
      <c r="C41" s="3" t="s">
        <v>90</v>
      </c>
      <c r="D41" s="3" t="s">
        <v>154</v>
      </c>
      <c r="E41" s="3">
        <v>4.2789100000000004E-3</v>
      </c>
      <c r="F41" s="3">
        <v>3.3186</v>
      </c>
      <c r="G41" s="3">
        <v>-0.03</v>
      </c>
      <c r="H41" s="5">
        <v>17.9528</v>
      </c>
      <c r="I41" s="8">
        <f>SUMIF(D41:D$1000,D41,E41:E$1000)</f>
        <v>10.00427891</v>
      </c>
      <c r="J41" s="9" cm="1">
        <f t="array" ref="J41">IF(I41&gt;IFERROR(_xlfn.XLOOKUP(D41,D42:D$1000,I42:I$1000,,0,1),0),(IFERROR(_xlfn.XLOOKUP(D41,D42:D$1000,J42:J$1000,,0,1),0)*IFERROR(_xlfn.XLOOKUP(D41,D42:D$1000,I42:I$1000,,0,1),0)-G41*H41)/I41,_xlfn.XLOOKUP(D41,D42:D$1000,J42:J$1000,,0,1))</f>
        <v>31.916839471641644</v>
      </c>
      <c r="K41" s="10" cm="1">
        <f t="array" ref="K41">IFERROR(IF(I41&lt;_xlfn.XLOOKUP(D41,D42:D$1000,I42:I$1000,,0,1),G41*H41-_xlfn.XLOOKUP(D41,D42:D$1000,J42:J$1000,,0,1)*-E41,0),0)</f>
        <v>0</v>
      </c>
      <c r="L41" s="56">
        <v>143.042</v>
      </c>
      <c r="M41" s="56">
        <v>142.64500000000001</v>
      </c>
      <c r="N41" s="59" cm="1">
        <f t="array" ref="N41">IF(I41&gt;_xlfn.XLOOKUP(D41,D42:D$1000,I42:I$1000,0,0,1),(_xlfn.XLOOKUP(D41,D42:D$1000,N42:N$1000,0,0,1)*MAX(1,L41/_xlfn.XLOOKUP(D41,D42:D$1000,L42:L$1000,L41,0,1))*_xlfn.XLOOKUP(D41,D42:D$1000,I42:I$1000,0,0,1)-G41*H41)/I41,_xlfn.XLOOKUP(D41,D42:D$1000,N42:N$1000,,0,1)*MAX(1,L41/_xlfn.XLOOKUP(D41,D42:D$1000,L42:L$1000,,0,1)))</f>
        <v>32.408807313175842</v>
      </c>
      <c r="O41" s="59" cm="1">
        <f t="array" ref="O41">IFERROR(IF(I41&lt;_xlfn.XLOOKUP(D41,D42:D$1000,I42:I$1000,,0,1),G41*H41-_xlfn.XLOOKUP(D41,D42:D$1000,N42:N$1000,,0,1)*-E41*MAX(1,M41/IFERROR(_xlfn.XLOOKUP(D41,D42:D$1000,L42:L$1000,,0,1),M41)),0),0)</f>
        <v>0</v>
      </c>
      <c r="P41" s="56" t="str" cm="1">
        <f t="array" ref="P41">IF(O41&lt;0,1,IF(E41&lt;0, _xlfn.LET(_xlpm.v_cant, ABS(E41), _xlpm.v_fecha, B41, _xlpm.v_ticker, D41, _xlpm.rango_f, B42:B$1000, _xlpm.rango_t, E42:E$1000, _xlpm.filtro, D42:D$1000=_xlpm.v_ticker, _xlpm.c_fechas, _xlfn._xlws.FILTER(_xlpm.rango_f, _xlpm.filtro*(_xlpm.rango_t&gt;0), _xlpm.v_fecha), _xlpm.c_cants, _xlfn._xlws.FILTER(_xlpm.rango_t, _xlpm.filtro*(_xlpm.rango_t&gt;0), 0), _xlpm.v_acums_pasadas, ABS(SUMIFS(E42:E$1000, D42:D$1000, _xlpm.v_ticker, E42:E$1000,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2" spans="1:16" x14ac:dyDescent="0.45">
      <c r="A42" s="3" t="s">
        <v>40</v>
      </c>
      <c r="B42" s="4">
        <f t="shared" si="0"/>
        <v>46015</v>
      </c>
      <c r="C42" s="3" t="s">
        <v>90</v>
      </c>
      <c r="D42" s="3" t="s">
        <v>135</v>
      </c>
      <c r="E42" s="3">
        <v>7.9868110000000006E-2</v>
      </c>
      <c r="F42" s="3">
        <v>187.30879999999999</v>
      </c>
      <c r="G42" s="3">
        <v>-14.99</v>
      </c>
      <c r="H42" s="5">
        <v>17.924800000000001</v>
      </c>
      <c r="I42" s="8">
        <f>SUMIF(D42:D$1000,D42,E42:E$1000)</f>
        <v>0.71447057999999997</v>
      </c>
      <c r="J42" s="9" cm="1">
        <f t="array" ref="J42">IF(I42&gt;IFERROR(_xlfn.XLOOKUP(D42,D43:D$1000,I43:I$1000,,0,1),0),(IFERROR(_xlfn.XLOOKUP(D42,D43:D$1000,J43:J$1000,,0,1),0)*IFERROR(_xlfn.XLOOKUP(D42,D43:D$1000,I43:I$1000,,0,1),0)-G42*H42)/I42,_xlfn.XLOOKUP(D42,D43:D$1000,J43:J$1000,,0,1))</f>
        <v>2528.5162616492898</v>
      </c>
      <c r="K42" s="10" cm="1">
        <f t="array" ref="K42">IFERROR(IF(I42&lt;_xlfn.XLOOKUP(D42,D43:D$1000,I43:I$1000,,0,1),G42*H42-_xlfn.XLOOKUP(D42,D43:D$1000,J43:J$1000,,0,1)*-E42,0),0)</f>
        <v>0</v>
      </c>
      <c r="L42" s="56">
        <v>143.042</v>
      </c>
      <c r="M42" s="56">
        <v>142.64500000000001</v>
      </c>
      <c r="N42" s="59" cm="1">
        <f t="array" ref="N42">IF(I42&gt;_xlfn.XLOOKUP(D42,D43:D$1000,I43:I$1000,0,0,1),(_xlfn.XLOOKUP(D42,D43:D$1000,N43:N$1000,0,0,1)*MAX(1,L42/_xlfn.XLOOKUP(D42,D43:D$1000,L43:L$1000,L42,0,1))*_xlfn.XLOOKUP(D42,D43:D$1000,I43:I$1000,0,0,1)-G42*H42)/I42,_xlfn.XLOOKUP(D42,D43:D$1000,N43:N$1000,,0,1)*MAX(1,L42/_xlfn.XLOOKUP(D42,D43:D$1000,L43:L$1000,,0,1)))</f>
        <v>2594.1666827729373</v>
      </c>
      <c r="O42" s="59" cm="1">
        <f t="array" ref="O42">IFERROR(IF(I42&lt;_xlfn.XLOOKUP(D42,D43:D$1000,I43:I$1000,,0,1),G42*H42-_xlfn.XLOOKUP(D42,D43:D$1000,N43:N$1000,,0,1)*-E42*MAX(1,M42/IFERROR(_xlfn.XLOOKUP(D42,D43:D$1000,L43:L$1000,,0,1),M42)),0),0)</f>
        <v>0</v>
      </c>
      <c r="P42" s="56" t="str" cm="1">
        <f t="array" ref="P42">IF(O42&lt;0,1,IF(E42&lt;0, _xlfn.LET(_xlpm.v_cant, ABS(E42), _xlpm.v_fecha, B42, _xlpm.v_ticker, D42, _xlpm.rango_f, B43:B$1000, _xlpm.rango_t, E43:E$1000, _xlpm.filtro, D43:D$1000=_xlpm.v_ticker, _xlpm.c_fechas, _xlfn._xlws.FILTER(_xlpm.rango_f, _xlpm.filtro*(_xlpm.rango_t&gt;0), _xlpm.v_fecha), _xlpm.c_cants, _xlfn._xlws.FILTER(_xlpm.rango_t, _xlpm.filtro*(_xlpm.rango_t&gt;0), 0), _xlpm.v_acums_pasadas, ABS(SUMIFS(E43:E$1000, D43:D$1000, _xlpm.v_ticker, E43:E$1000,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3" spans="1:16" x14ac:dyDescent="0.45">
      <c r="A43" s="3" t="s">
        <v>39</v>
      </c>
      <c r="B43" s="4">
        <f t="shared" si="0"/>
        <v>46013</v>
      </c>
      <c r="C43" s="3" t="s">
        <v>90</v>
      </c>
      <c r="D43" s="3" t="s">
        <v>169</v>
      </c>
      <c r="E43" s="3">
        <v>1</v>
      </c>
      <c r="F43" s="3">
        <v>24.0886</v>
      </c>
      <c r="G43" s="3">
        <v>-24.09</v>
      </c>
      <c r="H43" s="5">
        <v>17.9785</v>
      </c>
      <c r="I43" s="8">
        <f>SUMIF(D43:D$1000,D43,E43:E$1000)</f>
        <v>1.7042052999999999</v>
      </c>
      <c r="J43" s="9" cm="1">
        <f t="array" ref="J43">IF(I43&gt;IFERROR(_xlfn.XLOOKUP(D43,D44:D$1000,I44:I$1000,,0,1),0),(IFERROR(_xlfn.XLOOKUP(D43,D44:D$1000,J44:J$1000,,0,1),0)*IFERROR(_xlfn.XLOOKUP(D43,D44:D$1000,I44:I$1000,,0,1),0)-G43*H43)/I43,_xlfn.XLOOKUP(D43,D44:D$1000,J44:J$1000,,0,1))</f>
        <v>392.89432264997657</v>
      </c>
      <c r="K43" s="10" cm="1">
        <f t="array" ref="K43">IFERROR(IF(I43&lt;_xlfn.XLOOKUP(D43,D44:D$1000,I44:I$1000,,0,1),G43*H43-_xlfn.XLOOKUP(D43,D44:D$1000,J44:J$1000,,0,1)*-E43,0),0)</f>
        <v>0</v>
      </c>
      <c r="L43" s="56">
        <v>143.042</v>
      </c>
      <c r="M43" s="56">
        <v>142.64500000000001</v>
      </c>
      <c r="N43" s="59" cm="1">
        <f t="array" ref="N43">IF(I43&gt;_xlfn.XLOOKUP(D43,D44:D$1000,I44:I$1000,0,0,1),(_xlfn.XLOOKUP(D43,D44:D$1000,N44:N$1000,0,0,1)*MAX(1,L43/_xlfn.XLOOKUP(D43,D44:D$1000,L44:L$1000,L43,0,1))*_xlfn.XLOOKUP(D43,D44:D$1000,I44:I$1000,0,0,1)-G43*H43)/I43,_xlfn.XLOOKUP(D43,D44:D$1000,N44:N$1000,,0,1)*MAX(1,L43/_xlfn.XLOOKUP(D43,D44:D$1000,L44:L$1000,,0,1)))</f>
        <v>393.25407742943349</v>
      </c>
      <c r="O43" s="59" cm="1">
        <f t="array" ref="O43">IFERROR(IF(I43&lt;_xlfn.XLOOKUP(D43,D44:D$1000,I44:I$1000,,0,1),G43*H43-_xlfn.XLOOKUP(D43,D44:D$1000,N44:N$1000,,0,1)*-E43*MAX(1,M43/IFERROR(_xlfn.XLOOKUP(D43,D44:D$1000,L44:L$1000,,0,1),M43)),0),0)</f>
        <v>0</v>
      </c>
      <c r="P43" s="56" t="str" cm="1">
        <f t="array" ref="P43">IF(O43&lt;0,1,IF(E43&lt;0, _xlfn.LET(_xlpm.v_cant, ABS(E43), _xlpm.v_fecha, B43, _xlpm.v_ticker, D43, _xlpm.rango_f, B44:B$1000, _xlpm.rango_t, E44:E$1000, _xlpm.filtro, D44:D$1000=_xlpm.v_ticker, _xlpm.c_fechas, _xlfn._xlws.FILTER(_xlpm.rango_f, _xlpm.filtro*(_xlpm.rango_t&gt;0), _xlpm.v_fecha), _xlpm.c_cants, _xlfn._xlws.FILTER(_xlpm.rango_t, _xlpm.filtro*(_xlpm.rango_t&gt;0), 0), _xlpm.v_acums_pasadas, ABS(SUMIFS(E44:E$1000, D44:D$1000, _xlpm.v_ticker, E44:E$1000,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4" spans="1:16" x14ac:dyDescent="0.45">
      <c r="A44" s="3" t="s">
        <v>39</v>
      </c>
      <c r="B44" s="4">
        <f t="shared" si="0"/>
        <v>46013</v>
      </c>
      <c r="C44" s="3" t="s">
        <v>90</v>
      </c>
      <c r="D44" s="3" t="s">
        <v>169</v>
      </c>
      <c r="E44" s="3">
        <v>3.4929380000000003E-2</v>
      </c>
      <c r="F44" s="3">
        <v>24.0886</v>
      </c>
      <c r="G44" s="3">
        <v>-0.9</v>
      </c>
      <c r="H44" s="5">
        <v>17.9785</v>
      </c>
      <c r="I44" s="8">
        <f>SUMIF(D44:D$1000,D44,E44:E$1000)</f>
        <v>0.70420530000000003</v>
      </c>
      <c r="J44" s="9" cm="1">
        <f t="array" ref="J44">IF(I44&gt;IFERROR(_xlfn.XLOOKUP(D44,D45:D$1000,I45:I$1000,,0,1),0),(IFERROR(_xlfn.XLOOKUP(D44,D45:D$1000,J45:J$1000,,0,1),0)*IFERROR(_xlfn.XLOOKUP(D44,D45:D$1000,I45:I$1000,,0,1),0)-G44*H44)/I44,_xlfn.XLOOKUP(D44,D45:D$1000,J45:J$1000,,0,1))</f>
        <v>335.79770274378802</v>
      </c>
      <c r="K44" s="10" cm="1">
        <f t="array" ref="K44">IFERROR(IF(I44&lt;_xlfn.XLOOKUP(D44,D45:D$1000,I45:I$1000,,0,1),G44*H44-_xlfn.XLOOKUP(D44,D45:D$1000,J45:J$1000,,0,1)*-E44,0),0)</f>
        <v>0</v>
      </c>
      <c r="L44" s="56">
        <v>143.042</v>
      </c>
      <c r="M44" s="56">
        <v>142.64500000000001</v>
      </c>
      <c r="N44" s="59" cm="1">
        <f t="array" ref="N44">IF(I44&gt;_xlfn.XLOOKUP(D44,D45:D$1000,I45:I$1000,0,0,1),(_xlfn.XLOOKUP(D44,D45:D$1000,N45:N$1000,0,0,1)*MAX(1,L44/_xlfn.XLOOKUP(D44,D45:D$1000,L45:L$1000,L44,0,1))*_xlfn.XLOOKUP(D44,D45:D$1000,I45:I$1000,0,0,1)-G44*H44)/I44,_xlfn.XLOOKUP(D44,D45:D$1000,N45:N$1000,,0,1)*MAX(1,L44/_xlfn.XLOOKUP(D44,D45:D$1000,L45:L$1000,,0,1)))</f>
        <v>336.66832385648166</v>
      </c>
      <c r="O44" s="59" cm="1">
        <f t="array" ref="O44">IFERROR(IF(I44&lt;_xlfn.XLOOKUP(D44,D45:D$1000,I45:I$1000,,0,1),G44*H44-_xlfn.XLOOKUP(D44,D45:D$1000,N45:N$1000,,0,1)*-E44*MAX(1,M44/IFERROR(_xlfn.XLOOKUP(D44,D45:D$1000,L45:L$1000,,0,1),M44)),0),0)</f>
        <v>0</v>
      </c>
      <c r="P44" s="56" t="str" cm="1">
        <f t="array" ref="P44">IF(O44&lt;0,1,IF(E44&lt;0, _xlfn.LET(_xlpm.v_cant, ABS(E44), _xlpm.v_fecha, B44, _xlpm.v_ticker, D44, _xlpm.rango_f, B45:B$1000, _xlpm.rango_t, E45:E$1000, _xlpm.filtro, D45:D$1000=_xlpm.v_ticker, _xlpm.c_fechas, _xlfn._xlws.FILTER(_xlpm.rango_f, _xlpm.filtro*(_xlpm.rango_t&gt;0), _xlpm.v_fecha), _xlpm.c_cants, _xlfn._xlws.FILTER(_xlpm.rango_t, _xlpm.filtro*(_xlpm.rango_t&gt;0), 0), _xlpm.v_acums_pasadas, ABS(SUMIFS(E45:E$1000, D45:D$1000, _xlpm.v_ticker, E45:E$1000,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5" spans="1:16" x14ac:dyDescent="0.45">
      <c r="A45" s="3" t="s">
        <v>39</v>
      </c>
      <c r="B45" s="4">
        <f t="shared" si="0"/>
        <v>46013</v>
      </c>
      <c r="C45" s="3" t="s">
        <v>90</v>
      </c>
      <c r="D45" s="3" t="s">
        <v>170</v>
      </c>
      <c r="E45" s="3">
        <v>0.77690658000000001</v>
      </c>
      <c r="F45" s="3">
        <v>32.088799999999999</v>
      </c>
      <c r="G45" s="3">
        <v>-24.99</v>
      </c>
      <c r="H45" s="5">
        <v>17.9785</v>
      </c>
      <c r="I45" s="8">
        <f>SUMIF(D45:D$1000,D45,E45:E$1000)</f>
        <v>1.2406857</v>
      </c>
      <c r="J45" s="9" cm="1">
        <f t="array" ref="J45">IF(I45&gt;IFERROR(_xlfn.XLOOKUP(D45,D46:D$1000,I46:I$1000,,0,1),0),(IFERROR(_xlfn.XLOOKUP(D45,D46:D$1000,J46:J$1000,,0,1),0)*IFERROR(_xlfn.XLOOKUP(D45,D46:D$1000,I46:I$1000,,0,1),0)-G45*H45)/I45,_xlfn.XLOOKUP(D45,D46:D$1000,J46:J$1000,,0,1))</f>
        <v>539.67945870577853</v>
      </c>
      <c r="K45" s="10" cm="1">
        <f t="array" ref="K45">IFERROR(IF(I45&lt;_xlfn.XLOOKUP(D45,D46:D$1000,I46:I$1000,,0,1),G45*H45-_xlfn.XLOOKUP(D45,D46:D$1000,J46:J$1000,,0,1)*-E45,0),0)</f>
        <v>0</v>
      </c>
      <c r="L45" s="56">
        <v>143.042</v>
      </c>
      <c r="M45" s="56">
        <v>142.64500000000001</v>
      </c>
      <c r="N45" s="59" cm="1">
        <f t="array" ref="N45">IF(I45&gt;_xlfn.XLOOKUP(D45,D46:D$1000,I46:I$1000,0,0,1),(_xlfn.XLOOKUP(D45,D46:D$1000,N46:N$1000,0,0,1)*MAX(1,L45/_xlfn.XLOOKUP(D45,D46:D$1000,L46:L$1000,L45,0,1))*_xlfn.XLOOKUP(D45,D46:D$1000,I46:I$1000,0,0,1)-G45*H45)/I45,_xlfn.XLOOKUP(D45,D46:D$1000,N46:N$1000,,0,1)*MAX(1,L45/_xlfn.XLOOKUP(D45,D46:D$1000,L46:L$1000,,0,1)))</f>
        <v>540.17361770338027</v>
      </c>
      <c r="O45" s="59" cm="1">
        <f t="array" ref="O45">IFERROR(IF(I45&lt;_xlfn.XLOOKUP(D45,D46:D$1000,I46:I$1000,,0,1),G45*H45-_xlfn.XLOOKUP(D45,D46:D$1000,N46:N$1000,,0,1)*-E45*MAX(1,M45/IFERROR(_xlfn.XLOOKUP(D45,D46:D$1000,L46:L$1000,,0,1),M45)),0),0)</f>
        <v>0</v>
      </c>
      <c r="P45" s="56" t="str" cm="1">
        <f t="array" ref="P45">IF(O45&lt;0,1,IF(E45&lt;0, _xlfn.LET(_xlpm.v_cant, ABS(E45), _xlpm.v_fecha, B45, _xlpm.v_ticker, D45, _xlpm.rango_f, B46:B$1000, _xlpm.rango_t, E46:E$1000, _xlpm.filtro, D46:D$1000=_xlpm.v_ticker, _xlpm.c_fechas, _xlfn._xlws.FILTER(_xlpm.rango_f, _xlpm.filtro*(_xlpm.rango_t&gt;0), _xlpm.v_fecha), _xlpm.c_cants, _xlfn._xlws.FILTER(_xlpm.rango_t, _xlpm.filtro*(_xlpm.rango_t&gt;0), 0), _xlpm.v_acums_pasadas, ABS(SUMIFS(E46:E$1000, D46:D$1000, _xlpm.v_ticker, E46:E$1000,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6" spans="1:16" x14ac:dyDescent="0.45">
      <c r="A46" s="3" t="s">
        <v>39</v>
      </c>
      <c r="B46" s="4">
        <f t="shared" si="0"/>
        <v>46013</v>
      </c>
      <c r="C46" s="3" t="s">
        <v>90</v>
      </c>
      <c r="D46" s="3" t="s">
        <v>171</v>
      </c>
      <c r="E46" s="3">
        <v>0.36524106000000001</v>
      </c>
      <c r="F46" s="3">
        <v>81.918499999999995</v>
      </c>
      <c r="G46" s="3">
        <v>-29.99</v>
      </c>
      <c r="H46" s="5">
        <v>17.9785</v>
      </c>
      <c r="I46" s="8">
        <f>SUMIF(D46:D$1000,D46,E46:E$1000)</f>
        <v>0.36524106000000001</v>
      </c>
      <c r="J46" s="9" cm="1">
        <f t="array" ref="J46">IF(I46&gt;IFERROR(_xlfn.XLOOKUP(D46,D47:D$1000,I47:I$1000,,0,1),0),(IFERROR(_xlfn.XLOOKUP(D46,D47:D$1000,J47:J$1000,,0,1),0)*IFERROR(_xlfn.XLOOKUP(D46,D47:D$1000,I47:I$1000,,0,1),0)-G46*H46)/I46,_xlfn.XLOOKUP(D46,D47:D$1000,J47:J$1000,,0,1))</f>
        <v>1476.2174192572982</v>
      </c>
      <c r="K46" s="10" cm="1">
        <f t="array" ref="K46">IFERROR(IF(I46&lt;_xlfn.XLOOKUP(D46,D47:D$1000,I47:I$1000,,0,1),G46*H46-_xlfn.XLOOKUP(D46,D47:D$1000,J47:J$1000,,0,1)*-E46,0),0)</f>
        <v>0</v>
      </c>
      <c r="L46" s="56">
        <v>143.042</v>
      </c>
      <c r="M46" s="56">
        <v>142.64500000000001</v>
      </c>
      <c r="N46" s="59" cm="1">
        <f t="array" ref="N46">IF(I46&gt;_xlfn.XLOOKUP(D46,D47:D$1000,I47:I$1000,0,0,1),(_xlfn.XLOOKUP(D46,D47:D$1000,N47:N$1000,0,0,1)*MAX(1,L46/_xlfn.XLOOKUP(D46,D47:D$1000,L47:L$1000,L46,0,1))*_xlfn.XLOOKUP(D46,D47:D$1000,I47:I$1000,0,0,1)-G46*H46)/I46,_xlfn.XLOOKUP(D46,D47:D$1000,N47:N$1000,,0,1)*MAX(1,L46/_xlfn.XLOOKUP(D46,D47:D$1000,L47:L$1000,,0,1)))</f>
        <v>1476.2174192572982</v>
      </c>
      <c r="O46" s="59" cm="1">
        <f t="array" ref="O46">IFERROR(IF(I46&lt;_xlfn.XLOOKUP(D46,D47:D$1000,I47:I$1000,,0,1),G46*H46-_xlfn.XLOOKUP(D46,D47:D$1000,N47:N$1000,,0,1)*-E46*MAX(1,M46/IFERROR(_xlfn.XLOOKUP(D46,D47:D$1000,L47:L$1000,,0,1),M46)),0),0)</f>
        <v>0</v>
      </c>
      <c r="P46" s="56" t="str" cm="1">
        <f t="array" ref="P46">IF(O46&lt;0,1,IF(E46&lt;0, _xlfn.LET(_xlpm.v_cant, ABS(E46), _xlpm.v_fecha, B46, _xlpm.v_ticker, D46, _xlpm.rango_f, B47:B$1000, _xlpm.rango_t, E47:E$1000, _xlpm.filtro, D47:D$1000=_xlpm.v_ticker, _xlpm.c_fechas, _xlfn._xlws.FILTER(_xlpm.rango_f, _xlpm.filtro*(_xlpm.rango_t&gt;0), _xlpm.v_fecha), _xlpm.c_cants, _xlfn._xlws.FILTER(_xlpm.rango_t, _xlpm.filtro*(_xlpm.rango_t&gt;0), 0), _xlpm.v_acums_pasadas, ABS(SUMIFS(E47:E$1000, D47:D$1000, _xlpm.v_ticker, E47:E$1000,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7" spans="1:16" x14ac:dyDescent="0.45">
      <c r="A47" s="3" t="s">
        <v>39</v>
      </c>
      <c r="B47" s="4">
        <f t="shared" si="0"/>
        <v>46013</v>
      </c>
      <c r="C47" s="3" t="s">
        <v>90</v>
      </c>
      <c r="D47" s="3" t="s">
        <v>172</v>
      </c>
      <c r="E47" s="3">
        <v>0.24892095</v>
      </c>
      <c r="F47" s="3">
        <v>120.19880000000001</v>
      </c>
      <c r="G47" s="3">
        <v>-29.99</v>
      </c>
      <c r="H47" s="5">
        <v>17.9785</v>
      </c>
      <c r="I47" s="8">
        <f>SUMIF(D47:D$1000,D47,E47:E$1000)</f>
        <v>0.24892095</v>
      </c>
      <c r="J47" s="9" cm="1">
        <f t="array" ref="J47">IF(I47&gt;IFERROR(_xlfn.XLOOKUP(D47,D48:D$1000,I48:I$1000,,0,1),0),(IFERROR(_xlfn.XLOOKUP(D47,D48:D$1000,J48:J$1000,,0,1),0)*IFERROR(_xlfn.XLOOKUP(D47,D48:D$1000,I48:I$1000,,0,1),0)-G47*H47)/I47,_xlfn.XLOOKUP(D47,D48:D$1000,J48:J$1000,,0,1))</f>
        <v>2166.0499648583213</v>
      </c>
      <c r="K47" s="10" cm="1">
        <f t="array" ref="K47">IFERROR(IF(I47&lt;_xlfn.XLOOKUP(D47,D48:D$1000,I48:I$1000,,0,1),G47*H47-_xlfn.XLOOKUP(D47,D48:D$1000,J48:J$1000,,0,1)*-E47,0),0)</f>
        <v>0</v>
      </c>
      <c r="L47" s="56">
        <v>143.042</v>
      </c>
      <c r="M47" s="56">
        <v>142.64500000000001</v>
      </c>
      <c r="N47" s="59" cm="1">
        <f t="array" ref="N47">IF(I47&gt;_xlfn.XLOOKUP(D47,D48:D$1000,I48:I$1000,0,0,1),(_xlfn.XLOOKUP(D47,D48:D$1000,N48:N$1000,0,0,1)*MAX(1,L47/_xlfn.XLOOKUP(D47,D48:D$1000,L48:L$1000,L47,0,1))*_xlfn.XLOOKUP(D47,D48:D$1000,I48:I$1000,0,0,1)-G47*H47)/I47,_xlfn.XLOOKUP(D47,D48:D$1000,N48:N$1000,,0,1)*MAX(1,L47/_xlfn.XLOOKUP(D47,D48:D$1000,L48:L$1000,,0,1)))</f>
        <v>2166.0499648583213</v>
      </c>
      <c r="O47" s="59" cm="1">
        <f t="array" ref="O47">IFERROR(IF(I47&lt;_xlfn.XLOOKUP(D47,D48:D$1000,I48:I$1000,,0,1),G47*H47-_xlfn.XLOOKUP(D47,D48:D$1000,N48:N$1000,,0,1)*-E47*MAX(1,M47/IFERROR(_xlfn.XLOOKUP(D47,D48:D$1000,L48:L$1000,,0,1),M47)),0),0)</f>
        <v>0</v>
      </c>
      <c r="P47" s="56" t="str" cm="1">
        <f t="array" ref="P47">IF(O47&lt;0,1,IF(E47&lt;0, _xlfn.LET(_xlpm.v_cant, ABS(E47), _xlpm.v_fecha, B47, _xlpm.v_ticker, D47, _xlpm.rango_f, B48:B$1000, _xlpm.rango_t, E48:E$1000, _xlpm.filtro, D48:D$1000=_xlpm.v_ticker, _xlpm.c_fechas, _xlfn._xlws.FILTER(_xlpm.rango_f, _xlpm.filtro*(_xlpm.rango_t&gt;0), _xlpm.v_fecha), _xlpm.c_cants, _xlfn._xlws.FILTER(_xlpm.rango_t, _xlpm.filtro*(_xlpm.rango_t&gt;0), 0), _xlpm.v_acums_pasadas, ABS(SUMIFS(E48:E$1000, D48:D$1000, _xlpm.v_ticker, E48:E$1000,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8" spans="1:16" x14ac:dyDescent="0.45">
      <c r="A48" s="3" t="s">
        <v>39</v>
      </c>
      <c r="B48" s="4">
        <f t="shared" si="0"/>
        <v>46013</v>
      </c>
      <c r="C48" s="3" t="s">
        <v>90</v>
      </c>
      <c r="D48" s="3" t="s">
        <v>173</v>
      </c>
      <c r="E48" s="3">
        <v>0.49970034000000002</v>
      </c>
      <c r="F48" s="3">
        <v>49.889899999999997</v>
      </c>
      <c r="G48" s="3">
        <v>-24.99</v>
      </c>
      <c r="H48" s="5">
        <v>17.9785</v>
      </c>
      <c r="I48" s="8">
        <f>SUMIF(D48:D$1000,D48,E48:E$1000)</f>
        <v>0.49970034000000002</v>
      </c>
      <c r="J48" s="9" cm="1">
        <f t="array" ref="J48">IF(I48&gt;IFERROR(_xlfn.XLOOKUP(D48,D49:D$1000,I49:I$1000,,0,1),0),(IFERROR(_xlfn.XLOOKUP(D48,D49:D$1000,J49:J$1000,,0,1),0)*IFERROR(_xlfn.XLOOKUP(D48,D49:D$1000,I49:I$1000,,0,1),0)-G48*H48)/I48,_xlfn.XLOOKUP(D48,D49:D$1000,J49:J$1000,,0,1))</f>
        <v>899.10428117779543</v>
      </c>
      <c r="K48" s="10" cm="1">
        <f t="array" ref="K48">IFERROR(IF(I48&lt;_xlfn.XLOOKUP(D48,D49:D$1000,I49:I$1000,,0,1),G48*H48-_xlfn.XLOOKUP(D48,D49:D$1000,J49:J$1000,,0,1)*-E48,0),0)</f>
        <v>0</v>
      </c>
      <c r="L48" s="56">
        <v>143.042</v>
      </c>
      <c r="M48" s="56">
        <v>142.64500000000001</v>
      </c>
      <c r="N48" s="59" cm="1">
        <f t="array" ref="N48">IF(I48&gt;_xlfn.XLOOKUP(D48,D49:D$1000,I49:I$1000,0,0,1),(_xlfn.XLOOKUP(D48,D49:D$1000,N49:N$1000,0,0,1)*MAX(1,L48/_xlfn.XLOOKUP(D48,D49:D$1000,L49:L$1000,L48,0,1))*_xlfn.XLOOKUP(D48,D49:D$1000,I49:I$1000,0,0,1)-G48*H48)/I48,_xlfn.XLOOKUP(D48,D49:D$1000,N49:N$1000,,0,1)*MAX(1,L48/_xlfn.XLOOKUP(D48,D49:D$1000,L49:L$1000,,0,1)))</f>
        <v>899.10428117779543</v>
      </c>
      <c r="O48" s="59" cm="1">
        <f t="array" ref="O48">IFERROR(IF(I48&lt;_xlfn.XLOOKUP(D48,D49:D$1000,I49:I$1000,,0,1),G48*H48-_xlfn.XLOOKUP(D48,D49:D$1000,N49:N$1000,,0,1)*-E48*MAX(1,M48/IFERROR(_xlfn.XLOOKUP(D48,D49:D$1000,L49:L$1000,,0,1),M48)),0),0)</f>
        <v>0</v>
      </c>
      <c r="P48" s="56" t="str" cm="1">
        <f t="array" ref="P48">IF(O48&lt;0,1,IF(E48&lt;0, _xlfn.LET(_xlpm.v_cant, ABS(E48), _xlpm.v_fecha, B48, _xlpm.v_ticker, D48, _xlpm.rango_f, B49:B$1000, _xlpm.rango_t, E49:E$1000, _xlpm.filtro, D49:D$1000=_xlpm.v_ticker, _xlpm.c_fechas, _xlfn._xlws.FILTER(_xlpm.rango_f, _xlpm.filtro*(_xlpm.rango_t&gt;0), _xlpm.v_fecha), _xlpm.c_cants, _xlfn._xlws.FILTER(_xlpm.rango_t, _xlpm.filtro*(_xlpm.rango_t&gt;0), 0), _xlpm.v_acums_pasadas, ABS(SUMIFS(E49:E$1000, D49:D$1000, _xlpm.v_ticker, E49:E$1000,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49" spans="1:16" x14ac:dyDescent="0.45">
      <c r="A49" s="3" t="s">
        <v>39</v>
      </c>
      <c r="B49" s="4">
        <f t="shared" si="0"/>
        <v>46013</v>
      </c>
      <c r="C49" s="3" t="s">
        <v>90</v>
      </c>
      <c r="D49" s="3" t="s">
        <v>174</v>
      </c>
      <c r="E49" s="3">
        <v>0.15899356000000001</v>
      </c>
      <c r="F49" s="3">
        <v>156.7988</v>
      </c>
      <c r="G49" s="3">
        <v>-24.99</v>
      </c>
      <c r="H49" s="5">
        <v>17.9785</v>
      </c>
      <c r="I49" s="8">
        <f>SUMIF(D49:D$1000,D49,E49:E$1000)</f>
        <v>0.15899356000000001</v>
      </c>
      <c r="J49" s="9" cm="1">
        <f t="array" ref="J49">IF(I49&gt;IFERROR(_xlfn.XLOOKUP(D49,D50:D$1000,I50:I$1000,,0,1),0),(IFERROR(_xlfn.XLOOKUP(D49,D50:D$1000,J50:J$1000,,0,1),0)*IFERROR(_xlfn.XLOOKUP(D49,D50:D$1000,I50:I$1000,,0,1),0)-G49*H49)/I49,_xlfn.XLOOKUP(D49,D50:D$1000,J50:J$1000,,0,1))</f>
        <v>2825.7919062885312</v>
      </c>
      <c r="K49" s="10" cm="1">
        <f t="array" ref="K49">IFERROR(IF(I49&lt;_xlfn.XLOOKUP(D49,D50:D$1000,I50:I$1000,,0,1),G49*H49-_xlfn.XLOOKUP(D49,D50:D$1000,J50:J$1000,,0,1)*-E49,0),0)</f>
        <v>0</v>
      </c>
      <c r="L49" s="56">
        <v>143.042</v>
      </c>
      <c r="M49" s="56">
        <v>142.64500000000001</v>
      </c>
      <c r="N49" s="59" cm="1">
        <f t="array" ref="N49">IF(I49&gt;_xlfn.XLOOKUP(D49,D50:D$1000,I50:I$1000,0,0,1),(_xlfn.XLOOKUP(D49,D50:D$1000,N50:N$1000,0,0,1)*MAX(1,L49/_xlfn.XLOOKUP(D49,D50:D$1000,L50:L$1000,L49,0,1))*_xlfn.XLOOKUP(D49,D50:D$1000,I50:I$1000,0,0,1)-G49*H49)/I49,_xlfn.XLOOKUP(D49,D50:D$1000,N50:N$1000,,0,1)*MAX(1,L49/_xlfn.XLOOKUP(D49,D50:D$1000,L50:L$1000,,0,1)))</f>
        <v>2825.7919062885312</v>
      </c>
      <c r="O49" s="59" cm="1">
        <f t="array" ref="O49">IFERROR(IF(I49&lt;_xlfn.XLOOKUP(D49,D50:D$1000,I50:I$1000,,0,1),G49*H49-_xlfn.XLOOKUP(D49,D50:D$1000,N50:N$1000,,0,1)*-E49*MAX(1,M49/IFERROR(_xlfn.XLOOKUP(D49,D50:D$1000,L50:L$1000,,0,1),M49)),0),0)</f>
        <v>0</v>
      </c>
      <c r="P49" s="56" t="str" cm="1">
        <f t="array" ref="P49">IF(O49&lt;0,1,IF(E49&lt;0, _xlfn.LET(_xlpm.v_cant, ABS(E49), _xlpm.v_fecha, B49, _xlpm.v_ticker, D49, _xlpm.rango_f, B50:B$1000, _xlpm.rango_t, E50:E$1000, _xlpm.filtro, D50:D$1000=_xlpm.v_ticker, _xlpm.c_fechas, _xlfn._xlws.FILTER(_xlpm.rango_f, _xlpm.filtro*(_xlpm.rango_t&gt;0), _xlpm.v_fecha), _xlpm.c_cants, _xlfn._xlws.FILTER(_xlpm.rango_t, _xlpm.filtro*(_xlpm.rango_t&gt;0), 0), _xlpm.v_acums_pasadas, ABS(SUMIFS(E50:E$1000, D50:D$1000, _xlpm.v_ticker, E50:E$1000,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0" spans="1:16" x14ac:dyDescent="0.45">
      <c r="A50" s="3" t="s">
        <v>39</v>
      </c>
      <c r="B50" s="4">
        <f t="shared" si="0"/>
        <v>46013</v>
      </c>
      <c r="C50" s="3" t="s">
        <v>90</v>
      </c>
      <c r="D50" s="3" t="s">
        <v>162</v>
      </c>
      <c r="E50" s="3">
        <v>7.2630890000000004E-2</v>
      </c>
      <c r="F50" s="3">
        <v>247.14</v>
      </c>
      <c r="G50" s="3">
        <v>-17.989999999999998</v>
      </c>
      <c r="H50" s="5">
        <v>17.9785</v>
      </c>
      <c r="I50" s="8">
        <f>SUMIF(D50:D$1000,D50,E50:E$1000)</f>
        <v>0.12659021000000001</v>
      </c>
      <c r="J50" s="9" cm="1">
        <f t="array" ref="J50">IF(I50&gt;IFERROR(_xlfn.XLOOKUP(D50,D51:D$1000,I51:I$1000,,0,1),0),(IFERROR(_xlfn.XLOOKUP(D50,D51:D$1000,J51:J$1000,,0,1),0)*IFERROR(_xlfn.XLOOKUP(D50,D51:D$1000,I51:I$1000,,0,1),0)-G50*H50)/I50,_xlfn.XLOOKUP(D50,D51:D$1000,J51:J$1000,,0,1))</f>
        <v>4076.053487864503</v>
      </c>
      <c r="K50" s="10" cm="1">
        <f t="array" ref="K50">IFERROR(IF(I50&lt;_xlfn.XLOOKUP(D50,D51:D$1000,I51:I$1000,,0,1),G50*H50-_xlfn.XLOOKUP(D50,D51:D$1000,J51:J$1000,,0,1)*-E50,0),0)</f>
        <v>0</v>
      </c>
      <c r="L50" s="56">
        <v>143.042</v>
      </c>
      <c r="M50" s="56">
        <v>142.64500000000001</v>
      </c>
      <c r="N50" s="59" cm="1">
        <f t="array" ref="N50">IF(I50&gt;_xlfn.XLOOKUP(D50,D51:D$1000,I51:I$1000,0,0,1),(_xlfn.XLOOKUP(D50,D51:D$1000,N51:N$1000,0,0,1)*MAX(1,L50/_xlfn.XLOOKUP(D50,D51:D$1000,L51:L$1000,L50,0,1))*_xlfn.XLOOKUP(D50,D51:D$1000,I51:I$1000,0,0,1)-G50*H50)/I50,_xlfn.XLOOKUP(D50,D51:D$1000,N51:N$1000,,0,1)*MAX(1,L50/_xlfn.XLOOKUP(D50,D51:D$1000,L51:L$1000,,0,1)))</f>
        <v>4108.9714254531782</v>
      </c>
      <c r="O50" s="59" cm="1">
        <f t="array" ref="O50">IFERROR(IF(I50&lt;_xlfn.XLOOKUP(D50,D51:D$1000,I51:I$1000,,0,1),G50*H50-_xlfn.XLOOKUP(D50,D51:D$1000,N51:N$1000,,0,1)*-E50*MAX(1,M50/IFERROR(_xlfn.XLOOKUP(D50,D51:D$1000,L51:L$1000,,0,1),M50)),0),0)</f>
        <v>0</v>
      </c>
      <c r="P50" s="56" t="str" cm="1">
        <f t="array" ref="P50">IF(O50&lt;0,1,IF(E50&lt;0, _xlfn.LET(_xlpm.v_cant, ABS(E50), _xlpm.v_fecha, B50, _xlpm.v_ticker, D50, _xlpm.rango_f, B51:B$1000, _xlpm.rango_t, E51:E$1000, _xlpm.filtro, D51:D$1000=_xlpm.v_ticker, _xlpm.c_fechas, _xlfn._xlws.FILTER(_xlpm.rango_f, _xlpm.filtro*(_xlpm.rango_t&gt;0), _xlpm.v_fecha), _xlpm.c_cants, _xlfn._xlws.FILTER(_xlpm.rango_t, _xlpm.filtro*(_xlpm.rango_t&gt;0), 0), _xlpm.v_acums_pasadas, ABS(SUMIFS(E51:E$1000, D51:D$1000, _xlpm.v_ticker, E51:E$1000,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1" spans="1:16" x14ac:dyDescent="0.45">
      <c r="A51" s="3" t="s">
        <v>39</v>
      </c>
      <c r="B51" s="4">
        <f t="shared" si="0"/>
        <v>46013</v>
      </c>
      <c r="C51" s="3" t="s">
        <v>90</v>
      </c>
      <c r="D51" s="3" t="s">
        <v>175</v>
      </c>
      <c r="E51" s="3">
        <v>0.49153933999999999</v>
      </c>
      <c r="F51" s="3">
        <v>60.87</v>
      </c>
      <c r="G51" s="3">
        <v>-29.99</v>
      </c>
      <c r="H51" s="5">
        <v>17.9785</v>
      </c>
      <c r="I51" s="8">
        <f>SUMIF(D51:D$1000,D51,E51:E$1000)</f>
        <v>0.49153933999999999</v>
      </c>
      <c r="J51" s="9" cm="1">
        <f t="array" ref="J51">IF(I51&gt;IFERROR(_xlfn.XLOOKUP(D51,D52:D$1000,I52:I$1000,,0,1),0),(IFERROR(_xlfn.XLOOKUP(D51,D52:D$1000,J52:J$1000,,0,1),0)*IFERROR(_xlfn.XLOOKUP(D51,D52:D$1000,I52:I$1000,,0,1),0)-G51*H51)/I51,_xlfn.XLOOKUP(D51,D52:D$1000,J52:J$1000,,0,1))</f>
        <v>1096.9116225773505</v>
      </c>
      <c r="K51" s="10" cm="1">
        <f t="array" ref="K51">IFERROR(IF(I51&lt;_xlfn.XLOOKUP(D51,D52:D$1000,I52:I$1000,,0,1),G51*H51-_xlfn.XLOOKUP(D51,D52:D$1000,J52:J$1000,,0,1)*-E51,0),0)</f>
        <v>0</v>
      </c>
      <c r="L51" s="56">
        <v>143.042</v>
      </c>
      <c r="M51" s="56">
        <v>142.64500000000001</v>
      </c>
      <c r="N51" s="59" cm="1">
        <f t="array" ref="N51">IF(I51&gt;_xlfn.XLOOKUP(D51,D52:D$1000,I52:I$1000,0,0,1),(_xlfn.XLOOKUP(D51,D52:D$1000,N52:N$1000,0,0,1)*MAX(1,L51/_xlfn.XLOOKUP(D51,D52:D$1000,L52:L$1000,L51,0,1))*_xlfn.XLOOKUP(D51,D52:D$1000,I52:I$1000,0,0,1)-G51*H51)/I51,_xlfn.XLOOKUP(D51,D52:D$1000,N52:N$1000,,0,1)*MAX(1,L51/_xlfn.XLOOKUP(D51,D52:D$1000,L52:L$1000,,0,1)))</f>
        <v>1096.9116225773505</v>
      </c>
      <c r="O51" s="59" cm="1">
        <f t="array" ref="O51">IFERROR(IF(I51&lt;_xlfn.XLOOKUP(D51,D52:D$1000,I52:I$1000,,0,1),G51*H51-_xlfn.XLOOKUP(D51,D52:D$1000,N52:N$1000,,0,1)*-E51*MAX(1,M51/IFERROR(_xlfn.XLOOKUP(D51,D52:D$1000,L52:L$1000,,0,1),M51)),0),0)</f>
        <v>0</v>
      </c>
      <c r="P51" s="56" t="str" cm="1">
        <f t="array" ref="P51">IF(O51&lt;0,1,IF(E51&lt;0, _xlfn.LET(_xlpm.v_cant, ABS(E51), _xlpm.v_fecha, B51, _xlpm.v_ticker, D51, _xlpm.rango_f, B52:B$1000, _xlpm.rango_t, E52:E$1000, _xlpm.filtro, D52:D$1000=_xlpm.v_ticker, _xlpm.c_fechas, _xlfn._xlws.FILTER(_xlpm.rango_f, _xlpm.filtro*(_xlpm.rango_t&gt;0), _xlpm.v_fecha), _xlpm.c_cants, _xlfn._xlws.FILTER(_xlpm.rango_t, _xlpm.filtro*(_xlpm.rango_t&gt;0), 0), _xlpm.v_acums_pasadas, ABS(SUMIFS(E52:E$1000, D52:D$1000, _xlpm.v_ticker, E52:E$1000,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2" spans="1:16" x14ac:dyDescent="0.45">
      <c r="A52" s="3" t="s">
        <v>39</v>
      </c>
      <c r="B52" s="4">
        <f t="shared" si="0"/>
        <v>46013</v>
      </c>
      <c r="C52" s="3" t="s">
        <v>90</v>
      </c>
      <c r="D52" s="3" t="s">
        <v>130</v>
      </c>
      <c r="E52" s="3">
        <v>0.12413034000000001</v>
      </c>
      <c r="F52" s="3">
        <v>80.318799999999996</v>
      </c>
      <c r="G52" s="3">
        <v>-9.99</v>
      </c>
      <c r="H52" s="5">
        <v>17.9785</v>
      </c>
      <c r="I52" s="8">
        <f>SUMIF(D52:D$1000,D52,E52:E$1000)</f>
        <v>0.65974529000000004</v>
      </c>
      <c r="J52" s="9" cm="1">
        <f t="array" ref="J52">IF(I52&gt;IFERROR(_xlfn.XLOOKUP(D52,D53:D$1000,I53:I$1000,,0,1),0),(IFERROR(_xlfn.XLOOKUP(D52,D53:D$1000,J53:J$1000,,0,1),0)*IFERROR(_xlfn.XLOOKUP(D52,D53:D$1000,I53:I$1000,,0,1),0)-G52*H52)/I52,_xlfn.XLOOKUP(D52,D53:D$1000,J53:J$1000,,0,1))</f>
        <v>1325.8667447250741</v>
      </c>
      <c r="K52" s="10" cm="1">
        <f t="array" ref="K52">IFERROR(IF(I52&lt;_xlfn.XLOOKUP(D52,D53:D$1000,I53:I$1000,,0,1),G52*H52-_xlfn.XLOOKUP(D52,D53:D$1000,J53:J$1000,,0,1)*-E52,0),0)</f>
        <v>0</v>
      </c>
      <c r="L52" s="56">
        <v>143.042</v>
      </c>
      <c r="M52" s="56">
        <v>142.64500000000001</v>
      </c>
      <c r="N52" s="59" cm="1">
        <f t="array" ref="N52">IF(I52&gt;_xlfn.XLOOKUP(D52,D53:D$1000,I53:I$1000,0,0,1),(_xlfn.XLOOKUP(D52,D53:D$1000,N53:N$1000,0,0,1)*MAX(1,L52/_xlfn.XLOOKUP(D52,D53:D$1000,L53:L$1000,L52,0,1))*_xlfn.XLOOKUP(D52,D53:D$1000,I53:I$1000,0,0,1)-G52*H52)/I52,_xlfn.XLOOKUP(D52,D53:D$1000,N53:N$1000,,0,1)*MAX(1,L52/_xlfn.XLOOKUP(D52,D53:D$1000,L53:L$1000,,0,1)))</f>
        <v>1373.717131968617</v>
      </c>
      <c r="O52" s="59" cm="1">
        <f t="array" ref="O52">IFERROR(IF(I52&lt;_xlfn.XLOOKUP(D52,D53:D$1000,I53:I$1000,,0,1),G52*H52-_xlfn.XLOOKUP(D52,D53:D$1000,N53:N$1000,,0,1)*-E52*MAX(1,M52/IFERROR(_xlfn.XLOOKUP(D52,D53:D$1000,L53:L$1000,,0,1),M52)),0),0)</f>
        <v>0</v>
      </c>
      <c r="P52" s="56" t="str" cm="1">
        <f t="array" ref="P52">IF(O52&lt;0,1,IF(E52&lt;0, _xlfn.LET(_xlpm.v_cant, ABS(E52), _xlpm.v_fecha, B52, _xlpm.v_ticker, D52, _xlpm.rango_f, B53:B$1000, _xlpm.rango_t, E53:E$1000, _xlpm.filtro, D53:D$1000=_xlpm.v_ticker, _xlpm.c_fechas, _xlfn._xlws.FILTER(_xlpm.rango_f, _xlpm.filtro*(_xlpm.rango_t&gt;0), _xlpm.v_fecha), _xlpm.c_cants, _xlfn._xlws.FILTER(_xlpm.rango_t, _xlpm.filtro*(_xlpm.rango_t&gt;0), 0), _xlpm.v_acums_pasadas, ABS(SUMIFS(E53:E$1000, D53:D$1000, _xlpm.v_ticker, E53:E$1000,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3" spans="1:16" x14ac:dyDescent="0.45">
      <c r="A53" s="3" t="s">
        <v>39</v>
      </c>
      <c r="B53" s="4">
        <f t="shared" si="0"/>
        <v>46013</v>
      </c>
      <c r="C53" s="3" t="s">
        <v>90</v>
      </c>
      <c r="D53" s="3" t="s">
        <v>176</v>
      </c>
      <c r="E53" s="3">
        <v>0.29173849000000002</v>
      </c>
      <c r="F53" s="3">
        <v>51.278799999999997</v>
      </c>
      <c r="G53" s="3">
        <v>-14.99</v>
      </c>
      <c r="H53" s="5">
        <v>17.9785</v>
      </c>
      <c r="I53" s="8">
        <f>SUMIF(D53:D$1000,D53,E53:E$1000)</f>
        <v>0.78874805000000003</v>
      </c>
      <c r="J53" s="9" cm="1">
        <f t="array" ref="J53">IF(I53&gt;IFERROR(_xlfn.XLOOKUP(D53,D54:D$1000,I54:I$1000,,0,1),0),(IFERROR(_xlfn.XLOOKUP(D53,D54:D$1000,J54:J$1000,,0,1),0)*IFERROR(_xlfn.XLOOKUP(D53,D54:D$1000,I54:I$1000,,0,1),0)-G53*H53)/I53,_xlfn.XLOOKUP(D53,D54:D$1000,J54:J$1000,,0,1))</f>
        <v>931.40525925864415</v>
      </c>
      <c r="K53" s="10" cm="1">
        <f t="array" ref="K53">IFERROR(IF(I53&lt;_xlfn.XLOOKUP(D53,D54:D$1000,I54:I$1000,,0,1),G53*H53-_xlfn.XLOOKUP(D53,D54:D$1000,J54:J$1000,,0,1)*-E53,0),0)</f>
        <v>0</v>
      </c>
      <c r="L53" s="56">
        <v>143.042</v>
      </c>
      <c r="M53" s="56">
        <v>142.64500000000001</v>
      </c>
      <c r="N53" s="59" cm="1">
        <f t="array" ref="N53">IF(I53&gt;_xlfn.XLOOKUP(D53,D54:D$1000,I54:I$1000,0,0,1),(_xlfn.XLOOKUP(D53,D54:D$1000,N54:N$1000,0,0,1)*MAX(1,L53/_xlfn.XLOOKUP(D53,D54:D$1000,L54:L$1000,L53,0,1))*_xlfn.XLOOKUP(D53,D54:D$1000,I54:I$1000,0,0,1)-G53*H53)/I53,_xlfn.XLOOKUP(D53,D54:D$1000,N54:N$1000,,0,1)*MAX(1,L53/_xlfn.XLOOKUP(D53,D54:D$1000,L54:L$1000,,0,1)))</f>
        <v>933.04654912516457</v>
      </c>
      <c r="O53" s="59" cm="1">
        <f t="array" ref="O53">IFERROR(IF(I53&lt;_xlfn.XLOOKUP(D53,D54:D$1000,I54:I$1000,,0,1),G53*H53-_xlfn.XLOOKUP(D53,D54:D$1000,N54:N$1000,,0,1)*-E53*MAX(1,M53/IFERROR(_xlfn.XLOOKUP(D53,D54:D$1000,L54:L$1000,,0,1),M53)),0),0)</f>
        <v>0</v>
      </c>
      <c r="P53" s="56" t="str" cm="1">
        <f t="array" ref="P53">IF(O53&lt;0,1,IF(E53&lt;0, _xlfn.LET(_xlpm.v_cant, ABS(E53), _xlpm.v_fecha, B53, _xlpm.v_ticker, D53, _xlpm.rango_f, B54:B$1000, _xlpm.rango_t, E54:E$1000, _xlpm.filtro, D54:D$1000=_xlpm.v_ticker, _xlpm.c_fechas, _xlfn._xlws.FILTER(_xlpm.rango_f, _xlpm.filtro*(_xlpm.rango_t&gt;0), _xlpm.v_fecha), _xlpm.c_cants, _xlfn._xlws.FILTER(_xlpm.rango_t, _xlpm.filtro*(_xlpm.rango_t&gt;0), 0), _xlpm.v_acums_pasadas, ABS(SUMIFS(E54:E$1000, D54:D$1000, _xlpm.v_ticker, E54:E$1000,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4" spans="1:16" x14ac:dyDescent="0.45">
      <c r="A54" s="3" t="s">
        <v>39</v>
      </c>
      <c r="B54" s="4">
        <f t="shared" si="0"/>
        <v>46013</v>
      </c>
      <c r="C54" s="3" t="s">
        <v>91</v>
      </c>
      <c r="D54" s="3" t="s">
        <v>164</v>
      </c>
      <c r="E54" s="3">
        <v>-2</v>
      </c>
      <c r="F54" s="3">
        <v>0.82</v>
      </c>
      <c r="G54" s="3">
        <v>1.64</v>
      </c>
      <c r="H54" s="5">
        <v>17.9785</v>
      </c>
      <c r="I54" s="8">
        <f>SUMIF(D54:D$1000,D54,E54:E$1000)</f>
        <v>35.712678280000006</v>
      </c>
      <c r="J54" s="9" cm="1">
        <f t="array" ref="J54">IF(I54&gt;IFERROR(_xlfn.XLOOKUP(D54,D55:D$1000,I55:I$1000,,0,1),0),(IFERROR(_xlfn.XLOOKUP(D54,D55:D$1000,J55:J$1000,,0,1),0)*IFERROR(_xlfn.XLOOKUP(D54,D55:D$1000,I55:I$1000,,0,1),0)-G54*H54)/I54,_xlfn.XLOOKUP(D54,D55:D$1000,J55:J$1000,,0,1))</f>
        <v>20.707198884562768</v>
      </c>
      <c r="K54" s="10" cm="1">
        <f t="array" ref="K54">IFERROR(IF(I54&lt;_xlfn.XLOOKUP(D54,D55:D$1000,I55:I$1000,,0,1),G54*H54-_xlfn.XLOOKUP(D54,D55:D$1000,J55:J$1000,,0,1)*-E54,0),0)</f>
        <v>-11.929657769125537</v>
      </c>
      <c r="L54" s="56">
        <v>143.042</v>
      </c>
      <c r="M54" s="56">
        <v>142.64500000000001</v>
      </c>
      <c r="N54" s="59" cm="1">
        <f t="array" ref="N54">IF(I54&gt;_xlfn.XLOOKUP(D54,D55:D$1000,I55:I$1000,0,0,1),(_xlfn.XLOOKUP(D54,D55:D$1000,N55:N$1000,0,0,1)*MAX(1,L54/_xlfn.XLOOKUP(D54,D55:D$1000,L55:L$1000,L54,0,1))*_xlfn.XLOOKUP(D54,D55:D$1000,I55:I$1000,0,0,1)-G54*H54)/I54,_xlfn.XLOOKUP(D54,D55:D$1000,N55:N$1000,,0,1)*MAX(1,L54/_xlfn.XLOOKUP(D54,D55:D$1000,L55:L$1000,,0,1)))</f>
        <v>21.471697097083901</v>
      </c>
      <c r="O54" s="59" cm="1">
        <f t="array" ref="O54">IFERROR(IF(I54&lt;_xlfn.XLOOKUP(D54,D55:D$1000,I55:I$1000,,0,1),G54*H54-_xlfn.XLOOKUP(D54,D55:D$1000,N55:N$1000,,0,1)*-E54*MAX(1,M54/IFERROR(_xlfn.XLOOKUP(D54,D55:D$1000,L55:L$1000,,0,1),M54)),0),0)</f>
        <v>-13.458654194167803</v>
      </c>
      <c r="P54" s="56" cm="1">
        <f t="array" ref="P54">IF(O54&lt;0,1,IF(E54&lt;0, _xlfn.LET(_xlpm.v_cant, ABS(E54), _xlpm.v_fecha, B54, _xlpm.v_ticker, D54, _xlpm.rango_f, B55:B$1000, _xlpm.rango_t, E55:E$1000, _xlpm.filtro, D55:D$1000=_xlpm.v_ticker, _xlpm.c_fechas, _xlfn._xlws.FILTER(_xlpm.rango_f, _xlpm.filtro*(_xlpm.rango_t&gt;0), _xlpm.v_fecha), _xlpm.c_cants, _xlfn._xlws.FILTER(_xlpm.rango_t, _xlpm.filtro*(_xlpm.rango_t&gt;0), 0), _xlpm.v_acums_pasadas, ABS(SUMIFS(E55:E$1000, D55:D$1000, _xlpm.v_ticker, E55:E$1000,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55" spans="1:16" x14ac:dyDescent="0.45">
      <c r="A55" s="3" t="s">
        <v>39</v>
      </c>
      <c r="B55" s="4">
        <f t="shared" si="0"/>
        <v>46013</v>
      </c>
      <c r="C55" s="3" t="s">
        <v>91</v>
      </c>
      <c r="D55" s="3" t="s">
        <v>164</v>
      </c>
      <c r="E55" s="3">
        <v>-0.55000000000000004</v>
      </c>
      <c r="F55" s="3">
        <v>0.82</v>
      </c>
      <c r="G55" s="3">
        <v>0.45</v>
      </c>
      <c r="H55" s="5">
        <v>17.9785</v>
      </c>
      <c r="I55" s="8">
        <f>SUMIF(D55:D$1000,D55,E55:E$1000)</f>
        <v>37.712678280000006</v>
      </c>
      <c r="J55" s="9" cm="1">
        <f t="array" ref="J55">IF(I55&gt;IFERROR(_xlfn.XLOOKUP(D55,D56:D$1000,I56:I$1000,,0,1),0),(IFERROR(_xlfn.XLOOKUP(D55,D56:D$1000,J56:J$1000,,0,1),0)*IFERROR(_xlfn.XLOOKUP(D55,D56:D$1000,I56:I$1000,,0,1),0)-G55*H55)/I55,_xlfn.XLOOKUP(D55,D56:D$1000,J56:J$1000,,0,1))</f>
        <v>20.707198884562768</v>
      </c>
      <c r="K55" s="10" cm="1">
        <f t="array" ref="K55">IFERROR(IF(I55&lt;_xlfn.XLOOKUP(D55,D56:D$1000,I56:I$1000,,0,1),G55*H55-_xlfn.XLOOKUP(D55,D56:D$1000,J56:J$1000,,0,1)*-E55,0),0)</f>
        <v>-3.2986343865095229</v>
      </c>
      <c r="L55" s="56">
        <v>143.042</v>
      </c>
      <c r="M55" s="56">
        <v>142.64500000000001</v>
      </c>
      <c r="N55" s="59" cm="1">
        <f t="array" ref="N55">IF(I55&gt;_xlfn.XLOOKUP(D55,D56:D$1000,I56:I$1000,0,0,1),(_xlfn.XLOOKUP(D55,D56:D$1000,N56:N$1000,0,0,1)*MAX(1,L55/_xlfn.XLOOKUP(D55,D56:D$1000,L56:L$1000,L55,0,1))*_xlfn.XLOOKUP(D55,D56:D$1000,I56:I$1000,0,0,1)-G55*H55)/I55,_xlfn.XLOOKUP(D55,D56:D$1000,N56:N$1000,,0,1)*MAX(1,L55/_xlfn.XLOOKUP(D55,D56:D$1000,L56:L$1000,,0,1)))</f>
        <v>21.471697097083901</v>
      </c>
      <c r="O55" s="59" cm="1">
        <f t="array" ref="O55">IFERROR(IF(I55&lt;_xlfn.XLOOKUP(D55,D56:D$1000,I56:I$1000,,0,1),G55*H55-_xlfn.XLOOKUP(D55,D56:D$1000,N56:N$1000,,0,1)*-E55*MAX(1,M55/IFERROR(_xlfn.XLOOKUP(D55,D56:D$1000,L56:L$1000,,0,1),M55)),0),0)</f>
        <v>-3.6863324001163544</v>
      </c>
      <c r="P55" s="56" cm="1">
        <f t="array" ref="P55">IF(O55&lt;0,1,IF(E55&lt;0, _xlfn.LET(_xlpm.v_cant, ABS(E55), _xlpm.v_fecha, B55, _xlpm.v_ticker, D55, _xlpm.rango_f, B56:B$1000, _xlpm.rango_t, E56:E$1000, _xlpm.filtro, D56:D$1000=_xlpm.v_ticker, _xlpm.c_fechas, _xlfn._xlws.FILTER(_xlpm.rango_f, _xlpm.filtro*(_xlpm.rango_t&gt;0), _xlpm.v_fecha), _xlpm.c_cants, _xlfn._xlws.FILTER(_xlpm.rango_t, _xlpm.filtro*(_xlpm.rango_t&gt;0), 0), _xlpm.v_acums_pasadas, ABS(SUMIFS(E56:E$1000, D56:D$1000, _xlpm.v_ticker, E56:E$1000,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56" spans="1:16" x14ac:dyDescent="0.45">
      <c r="A56" s="3" t="s">
        <v>39</v>
      </c>
      <c r="B56" s="4">
        <f t="shared" si="0"/>
        <v>46013</v>
      </c>
      <c r="C56" s="3" t="s">
        <v>90</v>
      </c>
      <c r="D56" s="3" t="s">
        <v>128</v>
      </c>
      <c r="E56" s="3">
        <v>3.6493570000000003E-2</v>
      </c>
      <c r="F56" s="3">
        <v>273.19880000000001</v>
      </c>
      <c r="G56" s="3">
        <v>-9.99</v>
      </c>
      <c r="H56" s="5">
        <v>17.9785</v>
      </c>
      <c r="I56" s="8">
        <f>SUMIF(D56:D$1000,D56,E56:E$1000)</f>
        <v>0.31189688000000004</v>
      </c>
      <c r="J56" s="9" cm="1">
        <f t="array" ref="J56">IF(I56&gt;IFERROR(_xlfn.XLOOKUP(D56,D57:D$1000,I57:I$1000,,0,1),0),(IFERROR(_xlfn.XLOOKUP(D56,D57:D$1000,J57:J$1000,,0,1),0)*IFERROR(_xlfn.XLOOKUP(D56,D57:D$1000,I57:I$1000,,0,1),0)-G56*H56)/I56,_xlfn.XLOOKUP(D56,D57:D$1000,J57:J$1000,,0,1))</f>
        <v>2872.7542353100807</v>
      </c>
      <c r="K56" s="10" cm="1">
        <f t="array" ref="K56">IFERROR(IF(I56&lt;_xlfn.XLOOKUP(D56,D57:D$1000,I57:I$1000,,0,1),G56*H56-_xlfn.XLOOKUP(D56,D57:D$1000,J57:J$1000,,0,1)*-E56,0),0)</f>
        <v>0</v>
      </c>
      <c r="L56" s="56">
        <v>143.042</v>
      </c>
      <c r="M56" s="56">
        <v>142.64500000000001</v>
      </c>
      <c r="N56" s="59" cm="1">
        <f t="array" ref="N56">IF(I56&gt;_xlfn.XLOOKUP(D56,D57:D$1000,I57:I$1000,0,0,1),(_xlfn.XLOOKUP(D56,D57:D$1000,N57:N$1000,0,0,1)*MAX(1,L56/_xlfn.XLOOKUP(D56,D57:D$1000,L57:L$1000,L56,0,1))*_xlfn.XLOOKUP(D56,D57:D$1000,I57:I$1000,0,0,1)-G56*H56)/I56,_xlfn.XLOOKUP(D56,D57:D$1000,N57:N$1000,,0,1)*MAX(1,L56/_xlfn.XLOOKUP(D56,D57:D$1000,L57:L$1000,,0,1)))</f>
        <v>2947.0794880750386</v>
      </c>
      <c r="O56" s="59" cm="1">
        <f t="array" ref="O56">IFERROR(IF(I56&lt;_xlfn.XLOOKUP(D56,D57:D$1000,I57:I$1000,,0,1),G56*H56-_xlfn.XLOOKUP(D56,D57:D$1000,N57:N$1000,,0,1)*-E56*MAX(1,M56/IFERROR(_xlfn.XLOOKUP(D56,D57:D$1000,L57:L$1000,,0,1),M56)),0),0)</f>
        <v>0</v>
      </c>
      <c r="P56" s="56" t="str" cm="1">
        <f t="array" ref="P56">IF(O56&lt;0,1,IF(E56&lt;0, _xlfn.LET(_xlpm.v_cant, ABS(E56), _xlpm.v_fecha, B56, _xlpm.v_ticker, D56, _xlpm.rango_f, B57:B$1000, _xlpm.rango_t, E57:E$1000, _xlpm.filtro, D57:D$1000=_xlpm.v_ticker, _xlpm.c_fechas, _xlfn._xlws.FILTER(_xlpm.rango_f, _xlpm.filtro*(_xlpm.rango_t&gt;0), _xlpm.v_fecha), _xlpm.c_cants, _xlfn._xlws.FILTER(_xlpm.rango_t, _xlpm.filtro*(_xlpm.rango_t&gt;0), 0), _xlpm.v_acums_pasadas, ABS(SUMIFS(E57:E$1000, D57:D$1000, _xlpm.v_ticker, E57:E$1000,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7" spans="1:16" x14ac:dyDescent="0.45">
      <c r="A57" s="3" t="s">
        <v>39</v>
      </c>
      <c r="B57" s="4">
        <f t="shared" si="0"/>
        <v>46013</v>
      </c>
      <c r="C57" s="3" t="s">
        <v>90</v>
      </c>
      <c r="D57" s="3" t="s">
        <v>177</v>
      </c>
      <c r="E57" s="3">
        <v>0.26989579000000002</v>
      </c>
      <c r="F57" s="3">
        <v>55.428800000000003</v>
      </c>
      <c r="G57" s="3">
        <v>-14.99</v>
      </c>
      <c r="H57" s="5">
        <v>17.9785</v>
      </c>
      <c r="I57" s="8">
        <f>SUMIF(D57:D$1000,D57,E57:E$1000)</f>
        <v>0.56163485000000002</v>
      </c>
      <c r="J57" s="9" cm="1">
        <f t="array" ref="J57">IF(I57&gt;IFERROR(_xlfn.XLOOKUP(D57,D58:D$1000,I58:I$1000,,0,1),0),(IFERROR(_xlfn.XLOOKUP(D57,D58:D$1000,J58:J$1000,,0,1),0)*IFERROR(_xlfn.XLOOKUP(D57,D58:D$1000,I58:I$1000,,0,1),0)-G57*H57)/I57,_xlfn.XLOOKUP(D57,D58:D$1000,J58:J$1000,,0,1))</f>
        <v>998.62542717924282</v>
      </c>
      <c r="K57" s="10" cm="1">
        <f t="array" ref="K57">IFERROR(IF(I57&lt;_xlfn.XLOOKUP(D57,D58:D$1000,I58:I$1000,,0,1),G57*H57-_xlfn.XLOOKUP(D57,D58:D$1000,J58:J$1000,,0,1)*-E57,0),0)</f>
        <v>0</v>
      </c>
      <c r="L57" s="56">
        <v>143.042</v>
      </c>
      <c r="M57" s="56">
        <v>142.64500000000001</v>
      </c>
      <c r="N57" s="59" cm="1">
        <f t="array" ref="N57">IF(I57&gt;_xlfn.XLOOKUP(D57,D58:D$1000,I58:I$1000,0,0,1),(_xlfn.XLOOKUP(D57,D58:D$1000,N58:N$1000,0,0,1)*MAX(1,L57/_xlfn.XLOOKUP(D57,D58:D$1000,L58:L$1000,L57,0,1))*_xlfn.XLOOKUP(D57,D58:D$1000,I58:I$1000,0,0,1)-G57*H57)/I57,_xlfn.XLOOKUP(D57,D58:D$1000,N58:N$1000,,0,1)*MAX(1,L57/_xlfn.XLOOKUP(D57,D58:D$1000,L58:L$1000,,0,1)))</f>
        <v>1009.8523539882815</v>
      </c>
      <c r="O57" s="59" cm="1">
        <f t="array" ref="O57">IFERROR(IF(I57&lt;_xlfn.XLOOKUP(D57,D58:D$1000,I58:I$1000,,0,1),G57*H57-_xlfn.XLOOKUP(D57,D58:D$1000,N58:N$1000,,0,1)*-E57*MAX(1,M57/IFERROR(_xlfn.XLOOKUP(D57,D58:D$1000,L58:L$1000,,0,1),M57)),0),0)</f>
        <v>0</v>
      </c>
      <c r="P57" s="56" t="str" cm="1">
        <f t="array" ref="P57">IF(O57&lt;0,1,IF(E57&lt;0, _xlfn.LET(_xlpm.v_cant, ABS(E57), _xlpm.v_fecha, B57, _xlpm.v_ticker, D57, _xlpm.rango_f, B58:B$1000, _xlpm.rango_t, E58:E$1000, _xlpm.filtro, D58:D$1000=_xlpm.v_ticker, _xlpm.c_fechas, _xlfn._xlws.FILTER(_xlpm.rango_f, _xlpm.filtro*(_xlpm.rango_t&gt;0), _xlpm.v_fecha), _xlpm.c_cants, _xlfn._xlws.FILTER(_xlpm.rango_t, _xlpm.filtro*(_xlpm.rango_t&gt;0), 0), _xlpm.v_acums_pasadas, ABS(SUMIFS(E58:E$1000, D58:D$1000, _xlpm.v_ticker, E58:E$1000,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8" spans="1:16" x14ac:dyDescent="0.45">
      <c r="A58" s="3" t="s">
        <v>39</v>
      </c>
      <c r="B58" s="4">
        <f t="shared" si="0"/>
        <v>46013</v>
      </c>
      <c r="C58" s="3" t="s">
        <v>90</v>
      </c>
      <c r="D58" s="3" t="s">
        <v>138</v>
      </c>
      <c r="E58" s="3">
        <v>0.17270409</v>
      </c>
      <c r="F58" s="3">
        <v>57.7288</v>
      </c>
      <c r="G58" s="3">
        <v>-9.99</v>
      </c>
      <c r="H58" s="5">
        <v>17.9785</v>
      </c>
      <c r="I58" s="8">
        <f>SUMIF(D58:D$1000,D58,E58:E$1000)</f>
        <v>0.56657935999999998</v>
      </c>
      <c r="J58" s="9" cm="1">
        <f t="array" ref="J58">IF(I58&gt;IFERROR(_xlfn.XLOOKUP(D58,D59:D$1000,I59:I$1000,,0,1),0),(IFERROR(_xlfn.XLOOKUP(D58,D59:D$1000,J59:J$1000,,0,1),0)*IFERROR(_xlfn.XLOOKUP(D58,D59:D$1000,I59:I$1000,,0,1),0)-G58*H58)/I58,_xlfn.XLOOKUP(D58,D59:D$1000,J59:J$1000,,0,1))</f>
        <v>1561.0821562578631</v>
      </c>
      <c r="K58" s="10" cm="1">
        <f t="array" ref="K58">IFERROR(IF(I58&lt;_xlfn.XLOOKUP(D58,D59:D$1000,I59:I$1000,,0,1),G58*H58-_xlfn.XLOOKUP(D58,D59:D$1000,J59:J$1000,,0,1)*-E58,0),0)</f>
        <v>0</v>
      </c>
      <c r="L58" s="56">
        <v>143.042</v>
      </c>
      <c r="M58" s="56">
        <v>142.64500000000001</v>
      </c>
      <c r="N58" s="59" cm="1">
        <f t="array" ref="N58">IF(I58&gt;_xlfn.XLOOKUP(D58,D59:D$1000,I59:I$1000,0,0,1),(_xlfn.XLOOKUP(D58,D59:D$1000,N59:N$1000,0,0,1)*MAX(1,L58/_xlfn.XLOOKUP(D58,D59:D$1000,L59:L$1000,L58,0,1))*_xlfn.XLOOKUP(D58,D59:D$1000,I59:I$1000,0,0,1)-G58*H58)/I58,_xlfn.XLOOKUP(D58,D59:D$1000,N59:N$1000,,0,1)*MAX(1,L58/_xlfn.XLOOKUP(D58,D59:D$1000,L59:L$1000,,0,1)))</f>
        <v>1584.4434775631044</v>
      </c>
      <c r="O58" s="59" cm="1">
        <f t="array" ref="O58">IFERROR(IF(I58&lt;_xlfn.XLOOKUP(D58,D59:D$1000,I59:I$1000,,0,1),G58*H58-_xlfn.XLOOKUP(D58,D59:D$1000,N59:N$1000,,0,1)*-E58*MAX(1,M58/IFERROR(_xlfn.XLOOKUP(D58,D59:D$1000,L59:L$1000,,0,1),M58)),0),0)</f>
        <v>0</v>
      </c>
      <c r="P58" s="56" t="str" cm="1">
        <f t="array" ref="P58">IF(O58&lt;0,1,IF(E58&lt;0, _xlfn.LET(_xlpm.v_cant, ABS(E58), _xlpm.v_fecha, B58, _xlpm.v_ticker, D58, _xlpm.rango_f, B59:B$1000, _xlpm.rango_t, E59:E$1000, _xlpm.filtro, D59:D$1000=_xlpm.v_ticker, _xlpm.c_fechas, _xlfn._xlws.FILTER(_xlpm.rango_f, _xlpm.filtro*(_xlpm.rango_t&gt;0), _xlpm.v_fecha), _xlpm.c_cants, _xlfn._xlws.FILTER(_xlpm.rango_t, _xlpm.filtro*(_xlpm.rango_t&gt;0), 0), _xlpm.v_acums_pasadas, ABS(SUMIFS(E59:E$1000, D59:D$1000, _xlpm.v_ticker, E59:E$1000,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59" spans="1:16" x14ac:dyDescent="0.45">
      <c r="A59" s="3" t="s">
        <v>39</v>
      </c>
      <c r="B59" s="4">
        <f t="shared" si="0"/>
        <v>46013</v>
      </c>
      <c r="C59" s="3" t="s">
        <v>90</v>
      </c>
      <c r="D59" s="3" t="s">
        <v>136</v>
      </c>
      <c r="E59" s="3">
        <v>0.16547128</v>
      </c>
      <c r="F59" s="3">
        <v>54.208799999999997</v>
      </c>
      <c r="G59" s="3">
        <v>-8.99</v>
      </c>
      <c r="H59" s="5">
        <v>17.9785</v>
      </c>
      <c r="I59" s="8">
        <f>SUMIF(D59:D$1000,D59,E59:E$1000)</f>
        <v>1.0124115300000001</v>
      </c>
      <c r="J59" s="9" cm="1">
        <f t="array" ref="J59">IF(I59&gt;IFERROR(_xlfn.XLOOKUP(D59,D60:D$1000,I60:I$1000,,0,1),0),(IFERROR(_xlfn.XLOOKUP(D59,D60:D$1000,J60:J$1000,,0,1),0)*IFERROR(_xlfn.XLOOKUP(D59,D60:D$1000,I60:I$1000,,0,1),0)-G59*H59)/I59,_xlfn.XLOOKUP(D59,D60:D$1000,J60:J$1000,,0,1))</f>
        <v>1274.1080023061372</v>
      </c>
      <c r="K59" s="10" cm="1">
        <f t="array" ref="K59">IFERROR(IF(I59&lt;_xlfn.XLOOKUP(D59,D60:D$1000,I60:I$1000,,0,1),G59*H59-_xlfn.XLOOKUP(D59,D60:D$1000,J60:J$1000,,0,1)*-E59,0),0)</f>
        <v>0</v>
      </c>
      <c r="L59" s="56">
        <v>143.042</v>
      </c>
      <c r="M59" s="56">
        <v>142.64500000000001</v>
      </c>
      <c r="N59" s="59" cm="1">
        <f t="array" ref="N59">IF(I59&gt;_xlfn.XLOOKUP(D59,D60:D$1000,I60:I$1000,0,0,1),(_xlfn.XLOOKUP(D59,D60:D$1000,N60:N$1000,0,0,1)*MAX(1,L59/_xlfn.XLOOKUP(D59,D60:D$1000,L60:L$1000,L59,0,1))*_xlfn.XLOOKUP(D59,D60:D$1000,I60:I$1000,0,0,1)-G59*H59)/I59,_xlfn.XLOOKUP(D59,D60:D$1000,N60:N$1000,,0,1)*MAX(1,L59/_xlfn.XLOOKUP(D59,D60:D$1000,L60:L$1000,,0,1)))</f>
        <v>1290.3287898671308</v>
      </c>
      <c r="O59" s="59" cm="1">
        <f t="array" ref="O59">IFERROR(IF(I59&lt;_xlfn.XLOOKUP(D59,D60:D$1000,I60:I$1000,,0,1),G59*H59-_xlfn.XLOOKUP(D59,D60:D$1000,N60:N$1000,,0,1)*-E59*MAX(1,M59/IFERROR(_xlfn.XLOOKUP(D59,D60:D$1000,L60:L$1000,,0,1),M59)),0),0)</f>
        <v>0</v>
      </c>
      <c r="P59" s="56" t="str" cm="1">
        <f t="array" ref="P59">IF(O59&lt;0,1,IF(E59&lt;0, _xlfn.LET(_xlpm.v_cant, ABS(E59), _xlpm.v_fecha, B59, _xlpm.v_ticker, D59, _xlpm.rango_f, B60:B$1000, _xlpm.rango_t, E60:E$1000, _xlpm.filtro, D60:D$1000=_xlpm.v_ticker, _xlpm.c_fechas, _xlfn._xlws.FILTER(_xlpm.rango_f, _xlpm.filtro*(_xlpm.rango_t&gt;0), _xlpm.v_fecha), _xlpm.c_cants, _xlfn._xlws.FILTER(_xlpm.rango_t, _xlpm.filtro*(_xlpm.rango_t&gt;0), 0), _xlpm.v_acums_pasadas, ABS(SUMIFS(E60:E$1000, D60:D$1000, _xlpm.v_ticker, E60:E$1000,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0" spans="1:16" x14ac:dyDescent="0.45">
      <c r="A60" s="3" t="s">
        <v>39</v>
      </c>
      <c r="B60" s="4">
        <f t="shared" si="0"/>
        <v>46013</v>
      </c>
      <c r="C60" s="3" t="s">
        <v>90</v>
      </c>
      <c r="D60" s="3" t="s">
        <v>139</v>
      </c>
      <c r="E60" s="3">
        <v>4.0082430000000002E-2</v>
      </c>
      <c r="F60" s="3">
        <v>223.78880000000001</v>
      </c>
      <c r="G60" s="3">
        <v>-8.99</v>
      </c>
      <c r="H60" s="5">
        <v>17.9785</v>
      </c>
      <c r="I60" s="8">
        <f>SUMIF(D60:D$1000,D60,E60:E$1000)</f>
        <v>0.40523109000000002</v>
      </c>
      <c r="J60" s="9" cm="1">
        <f t="array" ref="J60">IF(I60&gt;IFERROR(_xlfn.XLOOKUP(D60,D61:D$1000,I61:I$1000,,0,1),0),(IFERROR(_xlfn.XLOOKUP(D60,D61:D$1000,J61:J$1000,,0,1),0)*IFERROR(_xlfn.XLOOKUP(D60,D61:D$1000,I61:I$1000,,0,1),0)-G60*H60)/I60,_xlfn.XLOOKUP(D60,D61:D$1000,J61:J$1000,,0,1))</f>
        <v>3180.4668911262461</v>
      </c>
      <c r="K60" s="10" cm="1">
        <f t="array" ref="K60">IFERROR(IF(I60&lt;_xlfn.XLOOKUP(D60,D61:D$1000,I61:I$1000,,0,1),G60*H60-_xlfn.XLOOKUP(D60,D61:D$1000,J61:J$1000,,0,1)*-E60,0),0)</f>
        <v>0</v>
      </c>
      <c r="L60" s="56">
        <v>143.042</v>
      </c>
      <c r="M60" s="56">
        <v>142.64500000000001</v>
      </c>
      <c r="N60" s="59" cm="1">
        <f t="array" ref="N60">IF(I60&gt;_xlfn.XLOOKUP(D60,D61:D$1000,I61:I$1000,0,0,1),(_xlfn.XLOOKUP(D60,D61:D$1000,N61:N$1000,0,0,1)*MAX(1,L60/_xlfn.XLOOKUP(D60,D61:D$1000,L61:L$1000,L60,0,1))*_xlfn.XLOOKUP(D60,D61:D$1000,I61:I$1000,0,0,1)-G60*H60)/I60,_xlfn.XLOOKUP(D60,D61:D$1000,N61:N$1000,,0,1)*MAX(1,L60/_xlfn.XLOOKUP(D60,D61:D$1000,L61:L$1000,,0,1)))</f>
        <v>3216.0303787848243</v>
      </c>
      <c r="O60" s="59" cm="1">
        <f t="array" ref="O60">IFERROR(IF(I60&lt;_xlfn.XLOOKUP(D60,D61:D$1000,I61:I$1000,,0,1),G60*H60-_xlfn.XLOOKUP(D60,D61:D$1000,N61:N$1000,,0,1)*-E60*MAX(1,M60/IFERROR(_xlfn.XLOOKUP(D60,D61:D$1000,L61:L$1000,,0,1),M60)),0),0)</f>
        <v>0</v>
      </c>
      <c r="P60" s="56" t="str" cm="1">
        <f t="array" ref="P60">IF(O60&lt;0,1,IF(E60&lt;0, _xlfn.LET(_xlpm.v_cant, ABS(E60), _xlpm.v_fecha, B60, _xlpm.v_ticker, D60, _xlpm.rango_f, B61:B$1000, _xlpm.rango_t, E61:E$1000, _xlpm.filtro, D61:D$1000=_xlpm.v_ticker, _xlpm.c_fechas, _xlfn._xlws.FILTER(_xlpm.rango_f, _xlpm.filtro*(_xlpm.rango_t&gt;0), _xlpm.v_fecha), _xlpm.c_cants, _xlfn._xlws.FILTER(_xlpm.rango_t, _xlpm.filtro*(_xlpm.rango_t&gt;0), 0), _xlpm.v_acums_pasadas, ABS(SUMIFS(E61:E$1000, D61:D$1000, _xlpm.v_ticker, E61:E$1000,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1" spans="1:16" x14ac:dyDescent="0.45">
      <c r="A61" s="3" t="s">
        <v>39</v>
      </c>
      <c r="B61" s="4">
        <f t="shared" si="0"/>
        <v>46013</v>
      </c>
      <c r="C61" s="3" t="s">
        <v>90</v>
      </c>
      <c r="D61" s="3" t="s">
        <v>178</v>
      </c>
      <c r="E61" s="3">
        <v>0.46567024000000001</v>
      </c>
      <c r="F61" s="3">
        <v>21.41</v>
      </c>
      <c r="G61" s="3">
        <v>-9.99</v>
      </c>
      <c r="H61" s="5">
        <v>17.9785</v>
      </c>
      <c r="I61" s="8">
        <f>SUMIF(D61:D$1000,D61,E61:E$1000)</f>
        <v>2.5941770100000001</v>
      </c>
      <c r="J61" s="9" cm="1">
        <f t="array" ref="J61">IF(I61&gt;IFERROR(_xlfn.XLOOKUP(D61,D62:D$1000,I62:I$1000,,0,1),0),(IFERROR(_xlfn.XLOOKUP(D61,D62:D$1000,J62:J$1000,,0,1),0)*IFERROR(_xlfn.XLOOKUP(D61,D62:D$1000,I62:I$1000,,0,1),0)-G61*H61)/I61,_xlfn.XLOOKUP(D61,D62:D$1000,J62:J$1000,,0,1))</f>
        <v>247.63062949200986</v>
      </c>
      <c r="K61" s="10" cm="1">
        <f t="array" ref="K61">IFERROR(IF(I61&lt;_xlfn.XLOOKUP(D61,D62:D$1000,I62:I$1000,,0,1),G61*H61-_xlfn.XLOOKUP(D61,D62:D$1000,J62:J$1000,,0,1)*-E61,0),0)</f>
        <v>0</v>
      </c>
      <c r="L61" s="56">
        <v>143.042</v>
      </c>
      <c r="M61" s="56">
        <v>142.64500000000001</v>
      </c>
      <c r="N61" s="59" cm="1">
        <f t="array" ref="N61">IF(I61&gt;_xlfn.XLOOKUP(D61,D62:D$1000,I62:I$1000,0,0,1),(_xlfn.XLOOKUP(D61,D62:D$1000,N62:N$1000,0,0,1)*MAX(1,L61/_xlfn.XLOOKUP(D61,D62:D$1000,L62:L$1000,L61,0,1))*_xlfn.XLOOKUP(D61,D62:D$1000,I62:I$1000,0,0,1)-G61*H61)/I61,_xlfn.XLOOKUP(D61,D62:D$1000,N62:N$1000,,0,1)*MAX(1,L61/_xlfn.XLOOKUP(D61,D62:D$1000,L62:L$1000,,0,1)))</f>
        <v>250.02617302656691</v>
      </c>
      <c r="O61" s="59" cm="1">
        <f t="array" ref="O61">IFERROR(IF(I61&lt;_xlfn.XLOOKUP(D61,D62:D$1000,I62:I$1000,,0,1),G61*H61-_xlfn.XLOOKUP(D61,D62:D$1000,N62:N$1000,,0,1)*-E61*MAX(1,M61/IFERROR(_xlfn.XLOOKUP(D61,D62:D$1000,L62:L$1000,,0,1),M61)),0),0)</f>
        <v>0</v>
      </c>
      <c r="P61" s="56" t="str" cm="1">
        <f t="array" ref="P61">IF(O61&lt;0,1,IF(E61&lt;0, _xlfn.LET(_xlpm.v_cant, ABS(E61), _xlpm.v_fecha, B61, _xlpm.v_ticker, D61, _xlpm.rango_f, B62:B$1000, _xlpm.rango_t, E62:E$1000, _xlpm.filtro, D62:D$1000=_xlpm.v_ticker, _xlpm.c_fechas, _xlfn._xlws.FILTER(_xlpm.rango_f, _xlpm.filtro*(_xlpm.rango_t&gt;0), _xlpm.v_fecha), _xlpm.c_cants, _xlfn._xlws.FILTER(_xlpm.rango_t, _xlpm.filtro*(_xlpm.rango_t&gt;0), 0), _xlpm.v_acums_pasadas, ABS(SUMIFS(E62:E$1000, D62:D$1000, _xlpm.v_ticker, E62:E$1000,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2" spans="1:16" x14ac:dyDescent="0.45">
      <c r="A62" s="3" t="s">
        <v>39</v>
      </c>
      <c r="B62" s="4">
        <f t="shared" si="0"/>
        <v>46013</v>
      </c>
      <c r="C62" s="3" t="s">
        <v>90</v>
      </c>
      <c r="D62" s="3" t="s">
        <v>179</v>
      </c>
      <c r="E62" s="3">
        <v>0.23731189999999999</v>
      </c>
      <c r="F62" s="3">
        <v>126.0788</v>
      </c>
      <c r="G62" s="3">
        <v>-29.99</v>
      </c>
      <c r="H62" s="5">
        <v>17.9785</v>
      </c>
      <c r="I62" s="8">
        <f>SUMIF(D62:D$1000,D62,E62:E$1000)</f>
        <v>0.23731189999999999</v>
      </c>
      <c r="J62" s="9" cm="1">
        <f t="array" ref="J62">IF(I62&gt;IFERROR(_xlfn.XLOOKUP(D62,D63:D$1000,I63:I$1000,,0,1),0),(IFERROR(_xlfn.XLOOKUP(D62,D63:D$1000,J63:J$1000,,0,1),0)*IFERROR(_xlfn.XLOOKUP(D62,D63:D$1000,I63:I$1000,,0,1),0)-G62*H62)/I62,_xlfn.XLOOKUP(D62,D63:D$1000,J63:J$1000,,0,1))</f>
        <v>2272.0108641833808</v>
      </c>
      <c r="K62" s="10" cm="1">
        <f t="array" ref="K62">IFERROR(IF(I62&lt;_xlfn.XLOOKUP(D62,D63:D$1000,I63:I$1000,,0,1),G62*H62-_xlfn.XLOOKUP(D62,D63:D$1000,J63:J$1000,,0,1)*-E62,0),0)</f>
        <v>0</v>
      </c>
      <c r="L62" s="56">
        <v>143.042</v>
      </c>
      <c r="M62" s="56">
        <v>142.64500000000001</v>
      </c>
      <c r="N62" s="59" cm="1">
        <f t="array" ref="N62">IF(I62&gt;_xlfn.XLOOKUP(D62,D63:D$1000,I63:I$1000,0,0,1),(_xlfn.XLOOKUP(D62,D63:D$1000,N63:N$1000,0,0,1)*MAX(1,L62/_xlfn.XLOOKUP(D62,D63:D$1000,L63:L$1000,L62,0,1))*_xlfn.XLOOKUP(D62,D63:D$1000,I63:I$1000,0,0,1)-G62*H62)/I62,_xlfn.XLOOKUP(D62,D63:D$1000,N63:N$1000,,0,1)*MAX(1,L62/_xlfn.XLOOKUP(D62,D63:D$1000,L63:L$1000,,0,1)))</f>
        <v>2272.0108641833808</v>
      </c>
      <c r="O62" s="59" cm="1">
        <f t="array" ref="O62">IFERROR(IF(I62&lt;_xlfn.XLOOKUP(D62,D63:D$1000,I63:I$1000,,0,1),G62*H62-_xlfn.XLOOKUP(D62,D63:D$1000,N63:N$1000,,0,1)*-E62*MAX(1,M62/IFERROR(_xlfn.XLOOKUP(D62,D63:D$1000,L63:L$1000,,0,1),M62)),0),0)</f>
        <v>0</v>
      </c>
      <c r="P62" s="56" t="str" cm="1">
        <f t="array" ref="P62">IF(O62&lt;0,1,IF(E62&lt;0, _xlfn.LET(_xlpm.v_cant, ABS(E62), _xlpm.v_fecha, B62, _xlpm.v_ticker, D62, _xlpm.rango_f, B63:B$1000, _xlpm.rango_t, E63:E$1000, _xlpm.filtro, D63:D$1000=_xlpm.v_ticker, _xlpm.c_fechas, _xlfn._xlws.FILTER(_xlpm.rango_f, _xlpm.filtro*(_xlpm.rango_t&gt;0), _xlpm.v_fecha), _xlpm.c_cants, _xlfn._xlws.FILTER(_xlpm.rango_t, _xlpm.filtro*(_xlpm.rango_t&gt;0), 0), _xlpm.v_acums_pasadas, ABS(SUMIFS(E63:E$1000, D63:D$1000, _xlpm.v_ticker, E63:E$1000,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3" spans="1:16" x14ac:dyDescent="0.45">
      <c r="A63" s="3" t="s">
        <v>39</v>
      </c>
      <c r="B63" s="4">
        <f t="shared" si="0"/>
        <v>46013</v>
      </c>
      <c r="C63" s="3" t="s">
        <v>90</v>
      </c>
      <c r="D63" s="3" t="s">
        <v>180</v>
      </c>
      <c r="E63" s="3">
        <v>0.10361947000000001</v>
      </c>
      <c r="F63" s="3">
        <v>288.74880000000002</v>
      </c>
      <c r="G63" s="3">
        <v>-29.99</v>
      </c>
      <c r="H63" s="5">
        <v>17.9785</v>
      </c>
      <c r="I63" s="8">
        <f>SUMIF(D63:D$1000,D63,E63:E$1000)</f>
        <v>0.10361947000000001</v>
      </c>
      <c r="J63" s="9" cm="1">
        <f t="array" ref="J63">IF(I63&gt;IFERROR(_xlfn.XLOOKUP(D63,D64:D$1000,I64:I$1000,,0,1),0),(IFERROR(_xlfn.XLOOKUP(D63,D64:D$1000,J64:J$1000,,0,1),0)*IFERROR(_xlfn.XLOOKUP(D63,D64:D$1000,I64:I$1000,,0,1),0)-G63*H63)/I63,_xlfn.XLOOKUP(D63,D64:D$1000,J64:J$1000,,0,1))</f>
        <v>5203.4160664979272</v>
      </c>
      <c r="K63" s="10" cm="1">
        <f t="array" ref="K63">IFERROR(IF(I63&lt;_xlfn.XLOOKUP(D63,D64:D$1000,I64:I$1000,,0,1),G63*H63-_xlfn.XLOOKUP(D63,D64:D$1000,J64:J$1000,,0,1)*-E63,0),0)</f>
        <v>0</v>
      </c>
      <c r="L63" s="56">
        <v>143.042</v>
      </c>
      <c r="M63" s="56">
        <v>142.64500000000001</v>
      </c>
      <c r="N63" s="59" cm="1">
        <f t="array" ref="N63">IF(I63&gt;_xlfn.XLOOKUP(D63,D64:D$1000,I64:I$1000,0,0,1),(_xlfn.XLOOKUP(D63,D64:D$1000,N64:N$1000,0,0,1)*MAX(1,L63/_xlfn.XLOOKUP(D63,D64:D$1000,L64:L$1000,L63,0,1))*_xlfn.XLOOKUP(D63,D64:D$1000,I64:I$1000,0,0,1)-G63*H63)/I63,_xlfn.XLOOKUP(D63,D64:D$1000,N64:N$1000,,0,1)*MAX(1,L63/_xlfn.XLOOKUP(D63,D64:D$1000,L64:L$1000,,0,1)))</f>
        <v>5203.4160664979272</v>
      </c>
      <c r="O63" s="59" cm="1">
        <f t="array" ref="O63">IFERROR(IF(I63&lt;_xlfn.XLOOKUP(D63,D64:D$1000,I64:I$1000,,0,1),G63*H63-_xlfn.XLOOKUP(D63,D64:D$1000,N64:N$1000,,0,1)*-E63*MAX(1,M63/IFERROR(_xlfn.XLOOKUP(D63,D64:D$1000,L64:L$1000,,0,1),M63)),0),0)</f>
        <v>0</v>
      </c>
      <c r="P63" s="56" t="str" cm="1">
        <f t="array" ref="P63">IF(O63&lt;0,1,IF(E63&lt;0, _xlfn.LET(_xlpm.v_cant, ABS(E63), _xlpm.v_fecha, B63, _xlpm.v_ticker, D63, _xlpm.rango_f, B64:B$1000, _xlpm.rango_t, E64:E$1000, _xlpm.filtro, D64:D$1000=_xlpm.v_ticker, _xlpm.c_fechas, _xlfn._xlws.FILTER(_xlpm.rango_f, _xlpm.filtro*(_xlpm.rango_t&gt;0), _xlpm.v_fecha), _xlpm.c_cants, _xlfn._xlws.FILTER(_xlpm.rango_t, _xlpm.filtro*(_xlpm.rango_t&gt;0), 0), _xlpm.v_acums_pasadas, ABS(SUMIFS(E64:E$1000, D64:D$1000, _xlpm.v_ticker, E64:E$1000,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4" spans="1:16" x14ac:dyDescent="0.45">
      <c r="A64" s="3" t="s">
        <v>66</v>
      </c>
      <c r="B64" s="4">
        <f t="shared" si="0"/>
        <v>45979</v>
      </c>
      <c r="C64" s="3" t="s">
        <v>90</v>
      </c>
      <c r="D64" s="3" t="s">
        <v>158</v>
      </c>
      <c r="E64" s="3">
        <v>0.28816027999999999</v>
      </c>
      <c r="F64" s="3">
        <v>34.598799999999997</v>
      </c>
      <c r="G64" s="3">
        <v>-9.99</v>
      </c>
      <c r="H64" s="5">
        <v>18.372800000000002</v>
      </c>
      <c r="I64" s="8">
        <f>SUMIF(D64:D$1000,D64,E64:E$1000)</f>
        <v>0.79775748999999996</v>
      </c>
      <c r="J64" s="9" cm="1">
        <f t="array" ref="J64">IF(I64&gt;IFERROR(_xlfn.XLOOKUP(D64,D65:D$1000,I65:I$1000,,0,1),0),(IFERROR(_xlfn.XLOOKUP(D64,D65:D$1000,J65:J$1000,,0,1),0)*IFERROR(_xlfn.XLOOKUP(D64,D65:D$1000,I65:I$1000,,0,1),0)-G64*H64)/I64,_xlfn.XLOOKUP(D64,D65:D$1000,J65:J$1000,,0,1))</f>
        <v>550.39726421120781</v>
      </c>
      <c r="K64" s="10" cm="1">
        <f t="array" ref="K64">IFERROR(IF(I64&lt;_xlfn.XLOOKUP(D64,D65:D$1000,I65:I$1000,,0,1),G64*H64-_xlfn.XLOOKUP(D64,D65:D$1000,J65:J$1000,,0,1)*-E64,0),0)</f>
        <v>0</v>
      </c>
      <c r="L64" s="56">
        <v>142.64500000000001</v>
      </c>
      <c r="M64" s="56">
        <v>141.708</v>
      </c>
      <c r="N64" s="59" cm="1">
        <f t="array" ref="N64">IF(I64&gt;_xlfn.XLOOKUP(D64,D65:D$1000,I65:I$1000,0,0,1),(_xlfn.XLOOKUP(D64,D65:D$1000,N65:N$1000,0,0,1)*MAX(1,L64/_xlfn.XLOOKUP(D64,D65:D$1000,L65:L$1000,L64,0,1))*_xlfn.XLOOKUP(D64,D65:D$1000,I65:I$1000,0,0,1)-G64*H64)/I64,_xlfn.XLOOKUP(D64,D65:D$1000,N65:N$1000,,0,1)*MAX(1,L64/_xlfn.XLOOKUP(D64,D65:D$1000,L65:L$1000,,0,1)))</f>
        <v>559.44633853778146</v>
      </c>
      <c r="O64" s="59" cm="1">
        <f t="array" ref="O64">IFERROR(IF(I64&lt;_xlfn.XLOOKUP(D64,D65:D$1000,I65:I$1000,,0,1),G64*H64-_xlfn.XLOOKUP(D64,D65:D$1000,N65:N$1000,,0,1)*-E64*MAX(1,M64/IFERROR(_xlfn.XLOOKUP(D64,D65:D$1000,L65:L$1000,,0,1),M64)),0),0)</f>
        <v>0</v>
      </c>
      <c r="P64" s="56" t="str" cm="1">
        <f t="array" ref="P64">IF(O64&lt;0,1,IF(E64&lt;0, _xlfn.LET(_xlpm.v_cant, ABS(E64), _xlpm.v_fecha, B64, _xlpm.v_ticker, D64, _xlpm.rango_f, B65:B$1000, _xlpm.rango_t, E65:E$1000, _xlpm.filtro, D65:D$1000=_xlpm.v_ticker, _xlpm.c_fechas, _xlfn._xlws.FILTER(_xlpm.rango_f, _xlpm.filtro*(_xlpm.rango_t&gt;0), _xlpm.v_fecha), _xlpm.c_cants, _xlfn._xlws.FILTER(_xlpm.rango_t, _xlpm.filtro*(_xlpm.rango_t&gt;0), 0), _xlpm.v_acums_pasadas, ABS(SUMIFS(E65:E$1000, D65:D$1000, _xlpm.v_ticker, E65:E$1000,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5" spans="1:16" x14ac:dyDescent="0.45">
      <c r="A65" s="3" t="s">
        <v>66</v>
      </c>
      <c r="B65" s="4">
        <f t="shared" si="0"/>
        <v>45979</v>
      </c>
      <c r="C65" s="3" t="s">
        <v>91</v>
      </c>
      <c r="D65" s="3" t="s">
        <v>152</v>
      </c>
      <c r="E65" s="3">
        <v>-1</v>
      </c>
      <c r="F65" s="3">
        <v>6.9329000000000001</v>
      </c>
      <c r="G65" s="3">
        <v>6.93</v>
      </c>
      <c r="H65" s="5">
        <v>18.372800000000002</v>
      </c>
      <c r="I65" s="8">
        <f>SUMIF(D65:D$1000,D65,E65:E$1000)</f>
        <v>8.3266726846886741E-17</v>
      </c>
      <c r="J65" s="9" cm="1">
        <f t="array" ref="J65">IF(I65&gt;IFERROR(_xlfn.XLOOKUP(D65,D66:D$1000,I66:I$1000,,0,1),0),(IFERROR(_xlfn.XLOOKUP(D65,D66:D$1000,J66:J$1000,,0,1),0)*IFERROR(_xlfn.XLOOKUP(D65,D66:D$1000,I66:I$1000,,0,1),0)-G65*H65)/I65,_xlfn.XLOOKUP(D65,D66:D$1000,J66:J$1000,,0,1))</f>
        <v>283.32495437022448</v>
      </c>
      <c r="K65" s="10" cm="1">
        <f t="array" ref="K65">IFERROR(IF(I65&lt;_xlfn.XLOOKUP(D65,D66:D$1000,I66:I$1000,,0,1),G65*H65-_xlfn.XLOOKUP(D65,D66:D$1000,J66:J$1000,,0,1)*-E65,0),0)</f>
        <v>-156.00145037022446</v>
      </c>
      <c r="L65" s="56">
        <v>142.64500000000001</v>
      </c>
      <c r="M65" s="56">
        <v>141.708</v>
      </c>
      <c r="N65" s="59" cm="1">
        <f t="array" ref="N65">IF(I65&gt;_xlfn.XLOOKUP(D65,D66:D$1000,I66:I$1000,0,0,1),(_xlfn.XLOOKUP(D65,D66:D$1000,N66:N$1000,0,0,1)*MAX(1,L65/_xlfn.XLOOKUP(D65,D66:D$1000,L66:L$1000,L65,0,1))*_xlfn.XLOOKUP(D65,D66:D$1000,I66:I$1000,0,0,1)-G65*H65)/I65,_xlfn.XLOOKUP(D65,D66:D$1000,N66:N$1000,,0,1)*MAX(1,L65/_xlfn.XLOOKUP(D65,D66:D$1000,L66:L$1000,,0,1)))</f>
        <v>286.90103513342854</v>
      </c>
      <c r="O65" s="59" cm="1">
        <f t="array" ref="O65">IFERROR(IF(I65&lt;_xlfn.XLOOKUP(D65,D66:D$1000,I66:I$1000,,0,1),G65*H65-_xlfn.XLOOKUP(D65,D66:D$1000,N66:N$1000,,0,1)*-E65*MAX(1,M65/IFERROR(_xlfn.XLOOKUP(D65,D66:D$1000,L66:L$1000,,0,1),M65)),0),0)</f>
        <v>-159.57753113342852</v>
      </c>
      <c r="P65" s="56" cm="1">
        <f t="array" ref="P65">IF(O65&lt;0,1,IF(E65&lt;0, _xlfn.LET(_xlpm.v_cant, ABS(E65), _xlpm.v_fecha, B65, _xlpm.v_ticker, D65, _xlpm.rango_f, B66:B$1000, _xlpm.rango_t, E66:E$1000, _xlpm.filtro, D66:D$1000=_xlpm.v_ticker, _xlpm.c_fechas, _xlfn._xlws.FILTER(_xlpm.rango_f, _xlpm.filtro*(_xlpm.rango_t&gt;0), _xlpm.v_fecha), _xlpm.c_cants, _xlfn._xlws.FILTER(_xlpm.rango_t, _xlpm.filtro*(_xlpm.rango_t&gt;0), 0), _xlpm.v_acums_pasadas, ABS(SUMIFS(E66:E$1000, D66:D$1000, _xlpm.v_ticker, E66:E$1000,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66" spans="1:16" x14ac:dyDescent="0.45">
      <c r="A66" s="3" t="s">
        <v>66</v>
      </c>
      <c r="B66" s="4">
        <f t="shared" ref="B66:B129" si="1">DATEVALUE(A66)</f>
        <v>45979</v>
      </c>
      <c r="C66" s="3" t="s">
        <v>91</v>
      </c>
      <c r="D66" s="3" t="s">
        <v>152</v>
      </c>
      <c r="E66" s="3">
        <v>-0.19869645</v>
      </c>
      <c r="F66" s="3">
        <v>6.9329000000000001</v>
      </c>
      <c r="G66" s="3">
        <v>1.36</v>
      </c>
      <c r="H66" s="5">
        <v>18.372800000000002</v>
      </c>
      <c r="I66" s="8">
        <f>SUMIF(D66:D$1000,D66,E66:E$1000)</f>
        <v>1</v>
      </c>
      <c r="J66" s="9" cm="1">
        <f t="array" ref="J66">IF(I66&gt;IFERROR(_xlfn.XLOOKUP(D66,D67:D$1000,I67:I$1000,,0,1),0),(IFERROR(_xlfn.XLOOKUP(D66,D67:D$1000,J67:J$1000,,0,1),0)*IFERROR(_xlfn.XLOOKUP(D66,D67:D$1000,I67:I$1000,,0,1),0)-G66*H66)/I66,_xlfn.XLOOKUP(D66,D67:D$1000,J67:J$1000,,0,1))</f>
        <v>283.32495437022448</v>
      </c>
      <c r="K66" s="10" cm="1">
        <f t="array" ref="K66">IFERROR(IF(I66&lt;_xlfn.XLOOKUP(D66,D67:D$1000,I67:I$1000,,0,1),G66*H66-_xlfn.XLOOKUP(D66,D67:D$1000,J67:J$1000,,0,1)*-E66,0),0)</f>
        <v>-31.308654629775582</v>
      </c>
      <c r="L66" s="56">
        <v>142.64500000000001</v>
      </c>
      <c r="M66" s="56">
        <v>141.708</v>
      </c>
      <c r="N66" s="59" cm="1">
        <f t="array" ref="N66">IF(I66&gt;_xlfn.XLOOKUP(D66,D67:D$1000,I67:I$1000,0,0,1),(_xlfn.XLOOKUP(D66,D67:D$1000,N67:N$1000,0,0,1)*MAX(1,L66/_xlfn.XLOOKUP(D66,D67:D$1000,L67:L$1000,L66,0,1))*_xlfn.XLOOKUP(D66,D67:D$1000,I67:I$1000,0,0,1)-G66*H66)/I66,_xlfn.XLOOKUP(D66,D67:D$1000,N67:N$1000,,0,1)*MAX(1,L66/_xlfn.XLOOKUP(D66,D67:D$1000,L67:L$1000,,0,1)))</f>
        <v>286.90103513342854</v>
      </c>
      <c r="O66" s="59" cm="1">
        <f t="array" ref="O66">IFERROR(IF(I66&lt;_xlfn.XLOOKUP(D66,D67:D$1000,I67:I$1000,,0,1),G66*H66-_xlfn.XLOOKUP(D66,D67:D$1000,N67:N$1000,,0,1)*-E66*MAX(1,M66/IFERROR(_xlfn.XLOOKUP(D66,D67:D$1000,L67:L$1000,,0,1),M66)),0),0)</f>
        <v>-31.644749330959264</v>
      </c>
      <c r="P66" s="56" cm="1">
        <f t="array" ref="P66">IF(O66&lt;0,1,IF(E66&lt;0, _xlfn.LET(_xlpm.v_cant, ABS(E66), _xlpm.v_fecha, B66, _xlpm.v_ticker, D66, _xlpm.rango_f, B67:B$1000, _xlpm.rango_t, E67:E$1000, _xlpm.filtro, D67:D$1000=_xlpm.v_ticker, _xlpm.c_fechas, _xlfn._xlws.FILTER(_xlpm.rango_f, _xlpm.filtro*(_xlpm.rango_t&gt;0), _xlpm.v_fecha), _xlpm.c_cants, _xlfn._xlws.FILTER(_xlpm.rango_t, _xlpm.filtro*(_xlpm.rango_t&gt;0), 0), _xlpm.v_acums_pasadas, ABS(SUMIFS(E67:E$1000, D67:D$1000, _xlpm.v_ticker, E67:E$1000,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67" spans="1:16" x14ac:dyDescent="0.45">
      <c r="A67" s="3" t="s">
        <v>66</v>
      </c>
      <c r="B67" s="4">
        <f t="shared" si="1"/>
        <v>45979</v>
      </c>
      <c r="C67" s="3" t="s">
        <v>90</v>
      </c>
      <c r="D67" s="3" t="s">
        <v>195</v>
      </c>
      <c r="E67" s="3">
        <v>0.10950171</v>
      </c>
      <c r="F67" s="3">
        <v>91.0488</v>
      </c>
      <c r="G67" s="3">
        <v>-9.99</v>
      </c>
      <c r="H67" s="5">
        <v>18.372800000000002</v>
      </c>
      <c r="I67" s="8">
        <f>SUMIF(D67:D$1000,D67,E67:E$1000)</f>
        <v>0.48139777</v>
      </c>
      <c r="J67" s="9" cm="1">
        <f t="array" ref="J67">IF(I67&gt;IFERROR(_xlfn.XLOOKUP(D67,D68:D$1000,I68:I$1000,,0,1),0),(IFERROR(_xlfn.XLOOKUP(D67,D68:D$1000,J68:J$1000,,0,1),0)*IFERROR(_xlfn.XLOOKUP(D67,D68:D$1000,I68:I$1000,,0,1),0)-G67*H67)/I67,_xlfn.XLOOKUP(D67,D68:D$1000,J68:J$1000,,0,1))</f>
        <v>1733.3933474598355</v>
      </c>
      <c r="K67" s="10" cm="1">
        <f t="array" ref="K67">IFERROR(IF(I67&lt;_xlfn.XLOOKUP(D67,D68:D$1000,I68:I$1000,,0,1),G67*H67-_xlfn.XLOOKUP(D67,D68:D$1000,J68:J$1000,,0,1)*-E67,0),0)</f>
        <v>0</v>
      </c>
      <c r="L67" s="56">
        <v>142.64500000000001</v>
      </c>
      <c r="M67" s="56">
        <v>141.708</v>
      </c>
      <c r="N67" s="59" cm="1">
        <f t="array" ref="N67">IF(I67&gt;_xlfn.XLOOKUP(D67,D68:D$1000,I68:I$1000,0,0,1),(_xlfn.XLOOKUP(D67,D68:D$1000,N68:N$1000,0,0,1)*MAX(1,L67/_xlfn.XLOOKUP(D67,D68:D$1000,L68:L$1000,L67,0,1))*_xlfn.XLOOKUP(D67,D68:D$1000,I68:I$1000,0,0,1)-G67*H67)/I67,_xlfn.XLOOKUP(D67,D68:D$1000,N68:N$1000,,0,1)*MAX(1,L67/_xlfn.XLOOKUP(D67,D68:D$1000,L68:L$1000,,0,1)))</f>
        <v>1733.3933474598355</v>
      </c>
      <c r="O67" s="59" cm="1">
        <f t="array" ref="O67">IFERROR(IF(I67&lt;_xlfn.XLOOKUP(D67,D68:D$1000,I68:I$1000,,0,1),G67*H67-_xlfn.XLOOKUP(D67,D68:D$1000,N68:N$1000,,0,1)*-E67*MAX(1,M67/IFERROR(_xlfn.XLOOKUP(D67,D68:D$1000,L68:L$1000,,0,1),M67)),0),0)</f>
        <v>0</v>
      </c>
      <c r="P67" s="56" t="str" cm="1">
        <f t="array" ref="P67">IF(O67&lt;0,1,IF(E67&lt;0, _xlfn.LET(_xlpm.v_cant, ABS(E67), _xlpm.v_fecha, B67, _xlpm.v_ticker, D67, _xlpm.rango_f, B68:B$1000, _xlpm.rango_t, E68:E$1000, _xlpm.filtro, D68:D$1000=_xlpm.v_ticker, _xlpm.c_fechas, _xlfn._xlws.FILTER(_xlpm.rango_f, _xlpm.filtro*(_xlpm.rango_t&gt;0), _xlpm.v_fecha), _xlpm.c_cants, _xlfn._xlws.FILTER(_xlpm.rango_t, _xlpm.filtro*(_xlpm.rango_t&gt;0), 0), _xlpm.v_acums_pasadas, ABS(SUMIFS(E68:E$1000, D68:D$1000, _xlpm.v_ticker, E68:E$1000,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8" spans="1:16" x14ac:dyDescent="0.45">
      <c r="A68" s="3" t="s">
        <v>66</v>
      </c>
      <c r="B68" s="4">
        <f t="shared" si="1"/>
        <v>45979</v>
      </c>
      <c r="C68" s="3" t="s">
        <v>90</v>
      </c>
      <c r="D68" s="3" t="s">
        <v>199</v>
      </c>
      <c r="E68" s="3">
        <v>2</v>
      </c>
      <c r="F68" s="3">
        <v>8.0472000000000001</v>
      </c>
      <c r="G68" s="3">
        <v>-16.09</v>
      </c>
      <c r="H68" s="5">
        <v>18.372800000000002</v>
      </c>
      <c r="I68" s="8">
        <f>SUMIF(D68:D$1000,D68,E68:E$1000)</f>
        <v>2.4791231699999998</v>
      </c>
      <c r="J68" s="9" cm="1">
        <f t="array" ref="J68">IF(I68&gt;IFERROR(_xlfn.XLOOKUP(D68,D69:D$1000,I69:I$1000,,0,1),0),(IFERROR(_xlfn.XLOOKUP(D68,D69:D$1000,J69:J$1000,,0,1),0)*IFERROR(_xlfn.XLOOKUP(D68,D69:D$1000,I69:I$1000,,0,1),0)-G68*H68)/I68,_xlfn.XLOOKUP(D68,D69:D$1000,J69:J$1000,,0,1))</f>
        <v>148.14603664891732</v>
      </c>
      <c r="K68" s="10" cm="1">
        <f t="array" ref="K68">IFERROR(IF(I68&lt;_xlfn.XLOOKUP(D68,D69:D$1000,I69:I$1000,,0,1),G68*H68-_xlfn.XLOOKUP(D68,D69:D$1000,J69:J$1000,,0,1)*-E68,0),0)</f>
        <v>0</v>
      </c>
      <c r="L68" s="56">
        <v>142.64500000000001</v>
      </c>
      <c r="M68" s="56">
        <v>141.708</v>
      </c>
      <c r="N68" s="59" cm="1">
        <f t="array" ref="N68">IF(I68&gt;_xlfn.XLOOKUP(D68,D69:D$1000,I69:I$1000,0,0,1),(_xlfn.XLOOKUP(D68,D69:D$1000,N69:N$1000,0,0,1)*MAX(1,L68/_xlfn.XLOOKUP(D68,D69:D$1000,L69:L$1000,L68,0,1))*_xlfn.XLOOKUP(D68,D69:D$1000,I69:I$1000,0,0,1)-G68*H68)/I68,_xlfn.XLOOKUP(D68,D69:D$1000,N69:N$1000,,0,1)*MAX(1,L68/_xlfn.XLOOKUP(D68,D69:D$1000,L69:L$1000,,0,1)))</f>
        <v>148.14603664891732</v>
      </c>
      <c r="O68" s="59" cm="1">
        <f t="array" ref="O68">IFERROR(IF(I68&lt;_xlfn.XLOOKUP(D68,D69:D$1000,I69:I$1000,,0,1),G68*H68-_xlfn.XLOOKUP(D68,D69:D$1000,N69:N$1000,,0,1)*-E68*MAX(1,M68/IFERROR(_xlfn.XLOOKUP(D68,D69:D$1000,L69:L$1000,,0,1),M68)),0),0)</f>
        <v>0</v>
      </c>
      <c r="P68" s="56" t="str" cm="1">
        <f t="array" ref="P68">IF(O68&lt;0,1,IF(E68&lt;0, _xlfn.LET(_xlpm.v_cant, ABS(E68), _xlpm.v_fecha, B68, _xlpm.v_ticker, D68, _xlpm.rango_f, B69:B$1000, _xlpm.rango_t, E69:E$1000, _xlpm.filtro, D69:D$1000=_xlpm.v_ticker, _xlpm.c_fechas, _xlfn._xlws.FILTER(_xlpm.rango_f, _xlpm.filtro*(_xlpm.rango_t&gt;0), _xlpm.v_fecha), _xlpm.c_cants, _xlfn._xlws.FILTER(_xlpm.rango_t, _xlpm.filtro*(_xlpm.rango_t&gt;0), 0), _xlpm.v_acums_pasadas, ABS(SUMIFS(E69:E$1000, D69:D$1000, _xlpm.v_ticker, E69:E$1000,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69" spans="1:16" x14ac:dyDescent="0.45">
      <c r="A69" s="3" t="s">
        <v>66</v>
      </c>
      <c r="B69" s="4">
        <f t="shared" si="1"/>
        <v>45979</v>
      </c>
      <c r="C69" s="3" t="s">
        <v>90</v>
      </c>
      <c r="D69" s="3" t="s">
        <v>199</v>
      </c>
      <c r="E69" s="3">
        <v>0.47912316999999999</v>
      </c>
      <c r="F69" s="3">
        <v>8.0472000000000001</v>
      </c>
      <c r="G69" s="3">
        <v>-3.9</v>
      </c>
      <c r="H69" s="5">
        <v>18.372800000000002</v>
      </c>
      <c r="I69" s="8">
        <f>SUMIF(D69:D$1000,D69,E69:E$1000)</f>
        <v>0.47912316999999999</v>
      </c>
      <c r="J69" s="9" cm="1">
        <f t="array" ref="J69">IF(I69&gt;IFERROR(_xlfn.XLOOKUP(D69,D70:D$1000,I70:I$1000,,0,1),0),(IFERROR(_xlfn.XLOOKUP(D69,D70:D$1000,J70:J$1000,,0,1),0)*IFERROR(_xlfn.XLOOKUP(D69,D70:D$1000,I70:I$1000,,0,1),0)-G69*H69)/I69,_xlfn.XLOOKUP(D69,D70:D$1000,J70:J$1000,,0,1))</f>
        <v>149.55219134987775</v>
      </c>
      <c r="K69" s="10" cm="1">
        <f t="array" ref="K69">IFERROR(IF(I69&lt;_xlfn.XLOOKUP(D69,D70:D$1000,I70:I$1000,,0,1),G69*H69-_xlfn.XLOOKUP(D69,D70:D$1000,J70:J$1000,,0,1)*-E69,0),0)</f>
        <v>0</v>
      </c>
      <c r="L69" s="56">
        <v>142.64500000000001</v>
      </c>
      <c r="M69" s="56">
        <v>141.708</v>
      </c>
      <c r="N69" s="59" cm="1">
        <f t="array" ref="N69">IF(I69&gt;_xlfn.XLOOKUP(D69,D70:D$1000,I70:I$1000,0,0,1),(_xlfn.XLOOKUP(D69,D70:D$1000,N70:N$1000,0,0,1)*MAX(1,L69/_xlfn.XLOOKUP(D69,D70:D$1000,L70:L$1000,L69,0,1))*_xlfn.XLOOKUP(D69,D70:D$1000,I70:I$1000,0,0,1)-G69*H69)/I69,_xlfn.XLOOKUP(D69,D70:D$1000,N70:N$1000,,0,1)*MAX(1,L69/_xlfn.XLOOKUP(D69,D70:D$1000,L70:L$1000,,0,1)))</f>
        <v>149.55219134987775</v>
      </c>
      <c r="O69" s="59" cm="1">
        <f t="array" ref="O69">IFERROR(IF(I69&lt;_xlfn.XLOOKUP(D69,D70:D$1000,I70:I$1000,,0,1),G69*H69-_xlfn.XLOOKUP(D69,D70:D$1000,N70:N$1000,,0,1)*-E69*MAX(1,M69/IFERROR(_xlfn.XLOOKUP(D69,D70:D$1000,L70:L$1000,,0,1),M69)),0),0)</f>
        <v>0</v>
      </c>
      <c r="P69" s="56" t="str" cm="1">
        <f t="array" ref="P69">IF(O69&lt;0,1,IF(E69&lt;0, _xlfn.LET(_xlpm.v_cant, ABS(E69), _xlpm.v_fecha, B69, _xlpm.v_ticker, D69, _xlpm.rango_f, B70:B$1000, _xlpm.rango_t, E70:E$1000, _xlpm.filtro, D70:D$1000=_xlpm.v_ticker, _xlpm.c_fechas, _xlfn._xlws.FILTER(_xlpm.rango_f, _xlpm.filtro*(_xlpm.rango_t&gt;0), _xlpm.v_fecha), _xlpm.c_cants, _xlfn._xlws.FILTER(_xlpm.rango_t, _xlpm.filtro*(_xlpm.rango_t&gt;0), 0), _xlpm.v_acums_pasadas, ABS(SUMIFS(E70:E$1000, D70:D$1000, _xlpm.v_ticker, E70:E$1000,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0" spans="1:16" x14ac:dyDescent="0.45">
      <c r="A70" s="3" t="s">
        <v>66</v>
      </c>
      <c r="B70" s="4">
        <f t="shared" si="1"/>
        <v>45979</v>
      </c>
      <c r="C70" s="3" t="s">
        <v>90</v>
      </c>
      <c r="D70" s="3" t="s">
        <v>200</v>
      </c>
      <c r="E70" s="3">
        <v>1</v>
      </c>
      <c r="F70" s="3">
        <v>11.9251</v>
      </c>
      <c r="G70" s="3">
        <v>-11.93</v>
      </c>
      <c r="H70" s="5">
        <v>18.372800000000002</v>
      </c>
      <c r="I70" s="8">
        <f>SUMIF(D70:D$1000,D70,E70:E$1000)</f>
        <v>1.6729419399999998</v>
      </c>
      <c r="J70" s="9" cm="1">
        <f t="array" ref="J70">IF(I70&gt;IFERROR(_xlfn.XLOOKUP(D70,D71:D$1000,I71:I$1000,,0,1),0),(IFERROR(_xlfn.XLOOKUP(D70,D71:D$1000,J71:J$1000,,0,1),0)*IFERROR(_xlfn.XLOOKUP(D70,D71:D$1000,I71:I$1000,,0,1),0)-G70*H70)/I70,_xlfn.XLOOKUP(D70,D71:D$1000,J71:J$1000,,0,1))</f>
        <v>219.536771252205</v>
      </c>
      <c r="K70" s="10" cm="1">
        <f t="array" ref="K70">IFERROR(IF(I70&lt;_xlfn.XLOOKUP(D70,D71:D$1000,I71:I$1000,,0,1),G70*H70-_xlfn.XLOOKUP(D70,D71:D$1000,J71:J$1000,,0,1)*-E70,0),0)</f>
        <v>0</v>
      </c>
      <c r="L70" s="56">
        <v>142.64500000000001</v>
      </c>
      <c r="M70" s="56">
        <v>141.708</v>
      </c>
      <c r="N70" s="59" cm="1">
        <f t="array" ref="N70">IF(I70&gt;_xlfn.XLOOKUP(D70,D71:D$1000,I71:I$1000,0,0,1),(_xlfn.XLOOKUP(D70,D71:D$1000,N71:N$1000,0,0,1)*MAX(1,L70/_xlfn.XLOOKUP(D70,D71:D$1000,L71:L$1000,L70,0,1))*_xlfn.XLOOKUP(D70,D71:D$1000,I71:I$1000,0,0,1)-G70*H70)/I70,_xlfn.XLOOKUP(D70,D71:D$1000,N71:N$1000,,0,1)*MAX(1,L70/_xlfn.XLOOKUP(D70,D71:D$1000,L71:L$1000,,0,1)))</f>
        <v>219.536771252205</v>
      </c>
      <c r="O70" s="59" cm="1">
        <f t="array" ref="O70">IFERROR(IF(I70&lt;_xlfn.XLOOKUP(D70,D71:D$1000,I71:I$1000,,0,1),G70*H70-_xlfn.XLOOKUP(D70,D71:D$1000,N71:N$1000,,0,1)*-E70*MAX(1,M70/IFERROR(_xlfn.XLOOKUP(D70,D71:D$1000,L71:L$1000,,0,1),M70)),0),0)</f>
        <v>0</v>
      </c>
      <c r="P70" s="56" t="str" cm="1">
        <f t="array" ref="P70">IF(O70&lt;0,1,IF(E70&lt;0, _xlfn.LET(_xlpm.v_cant, ABS(E70), _xlpm.v_fecha, B70, _xlpm.v_ticker, D70, _xlpm.rango_f, B71:B$1000, _xlpm.rango_t, E71:E$1000, _xlpm.filtro, D71:D$1000=_xlpm.v_ticker, _xlpm.c_fechas, _xlfn._xlws.FILTER(_xlpm.rango_f, _xlpm.filtro*(_xlpm.rango_t&gt;0), _xlpm.v_fecha), _xlpm.c_cants, _xlfn._xlws.FILTER(_xlpm.rango_t, _xlpm.filtro*(_xlpm.rango_t&gt;0), 0), _xlpm.v_acums_pasadas, ABS(SUMIFS(E71:E$1000, D71:D$1000, _xlpm.v_ticker, E71:E$1000,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1" spans="1:16" x14ac:dyDescent="0.45">
      <c r="A71" s="3" t="s">
        <v>66</v>
      </c>
      <c r="B71" s="4">
        <f t="shared" si="1"/>
        <v>45979</v>
      </c>
      <c r="C71" s="3" t="s">
        <v>90</v>
      </c>
      <c r="D71" s="3" t="s">
        <v>200</v>
      </c>
      <c r="E71" s="3">
        <v>0.67294193999999996</v>
      </c>
      <c r="F71" s="3">
        <v>11.9251</v>
      </c>
      <c r="G71" s="3">
        <v>-8.06</v>
      </c>
      <c r="H71" s="5">
        <v>18.372800000000002</v>
      </c>
      <c r="I71" s="8">
        <f>SUMIF(D71:D$1000,D71,E71:E$1000)</f>
        <v>0.67294193999999996</v>
      </c>
      <c r="J71" s="9" cm="1">
        <f t="array" ref="J71">IF(I71&gt;IFERROR(_xlfn.XLOOKUP(D71,D72:D$1000,I72:I$1000,,0,1),0),(IFERROR(_xlfn.XLOOKUP(D71,D72:D$1000,J72:J$1000,,0,1),0)*IFERROR(_xlfn.XLOOKUP(D71,D72:D$1000,I72:I$1000,,0,1),0)-G71*H71)/I71,_xlfn.XLOOKUP(D71,D72:D$1000,J72:J$1000,,0,1))</f>
        <v>220.05578668495536</v>
      </c>
      <c r="K71" s="10" cm="1">
        <f t="array" ref="K71">IFERROR(IF(I71&lt;_xlfn.XLOOKUP(D71,D72:D$1000,I72:I$1000,,0,1),G71*H71-_xlfn.XLOOKUP(D71,D72:D$1000,J72:J$1000,,0,1)*-E71,0),0)</f>
        <v>0</v>
      </c>
      <c r="L71" s="56">
        <v>142.64500000000001</v>
      </c>
      <c r="M71" s="56">
        <v>141.708</v>
      </c>
      <c r="N71" s="59" cm="1">
        <f t="array" ref="N71">IF(I71&gt;_xlfn.XLOOKUP(D71,D72:D$1000,I72:I$1000,0,0,1),(_xlfn.XLOOKUP(D71,D72:D$1000,N72:N$1000,0,0,1)*MAX(1,L71/_xlfn.XLOOKUP(D71,D72:D$1000,L72:L$1000,L71,0,1))*_xlfn.XLOOKUP(D71,D72:D$1000,I72:I$1000,0,0,1)-G71*H71)/I71,_xlfn.XLOOKUP(D71,D72:D$1000,N72:N$1000,,0,1)*MAX(1,L71/_xlfn.XLOOKUP(D71,D72:D$1000,L72:L$1000,,0,1)))</f>
        <v>220.05578668495536</v>
      </c>
      <c r="O71" s="59" cm="1">
        <f t="array" ref="O71">IFERROR(IF(I71&lt;_xlfn.XLOOKUP(D71,D72:D$1000,I72:I$1000,,0,1),G71*H71-_xlfn.XLOOKUP(D71,D72:D$1000,N72:N$1000,,0,1)*-E71*MAX(1,M71/IFERROR(_xlfn.XLOOKUP(D71,D72:D$1000,L72:L$1000,,0,1),M71)),0),0)</f>
        <v>0</v>
      </c>
      <c r="P71" s="56" t="str" cm="1">
        <f t="array" ref="P71">IF(O71&lt;0,1,IF(E71&lt;0, _xlfn.LET(_xlpm.v_cant, ABS(E71), _xlpm.v_fecha, B71, _xlpm.v_ticker, D71, _xlpm.rango_f, B72:B$1000, _xlpm.rango_t, E72:E$1000, _xlpm.filtro, D72:D$1000=_xlpm.v_ticker, _xlpm.c_fechas, _xlfn._xlws.FILTER(_xlpm.rango_f, _xlpm.filtro*(_xlpm.rango_t&gt;0), _xlpm.v_fecha), _xlpm.c_cants, _xlfn._xlws.FILTER(_xlpm.rango_t, _xlpm.filtro*(_xlpm.rango_t&gt;0), 0), _xlpm.v_acums_pasadas, ABS(SUMIFS(E72:E$1000, D72:D$1000, _xlpm.v_ticker, E72:E$1000,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2" spans="1:16" x14ac:dyDescent="0.45">
      <c r="A72" s="3" t="s">
        <v>66</v>
      </c>
      <c r="B72" s="4">
        <f t="shared" si="1"/>
        <v>45979</v>
      </c>
      <c r="C72" s="3" t="s">
        <v>90</v>
      </c>
      <c r="D72" s="3" t="s">
        <v>170</v>
      </c>
      <c r="E72" s="3">
        <v>0.46377911999999999</v>
      </c>
      <c r="F72" s="3">
        <v>25.809699999999999</v>
      </c>
      <c r="G72" s="3">
        <v>-11.99</v>
      </c>
      <c r="H72" s="5">
        <v>18.372800000000002</v>
      </c>
      <c r="I72" s="8">
        <f>SUMIF(D72:D$1000,D72,E72:E$1000)</f>
        <v>0.46377911999999999</v>
      </c>
      <c r="J72" s="9" cm="1">
        <f t="array" ref="J72">IF(I72&gt;IFERROR(_xlfn.XLOOKUP(D72,D73:D$1000,I73:I$1000,,0,1),0),(IFERROR(_xlfn.XLOOKUP(D72,D73:D$1000,J73:J$1000,,0,1),0)*IFERROR(_xlfn.XLOOKUP(D72,D73:D$1000,I73:I$1000,,0,1),0)-G72*H72)/I72,_xlfn.XLOOKUP(D72,D73:D$1000,J73:J$1000,,0,1))</f>
        <v>474.98876620404997</v>
      </c>
      <c r="K72" s="10" cm="1">
        <f t="array" ref="K72">IFERROR(IF(I72&lt;_xlfn.XLOOKUP(D72,D73:D$1000,I73:I$1000,,0,1),G72*H72-_xlfn.XLOOKUP(D72,D73:D$1000,J73:J$1000,,0,1)*-E72,0),0)</f>
        <v>0</v>
      </c>
      <c r="L72" s="56">
        <v>142.64500000000001</v>
      </c>
      <c r="M72" s="56">
        <v>141.708</v>
      </c>
      <c r="N72" s="59" cm="1">
        <f t="array" ref="N72">IF(I72&gt;_xlfn.XLOOKUP(D72,D73:D$1000,I73:I$1000,0,0,1),(_xlfn.XLOOKUP(D72,D73:D$1000,N73:N$1000,0,0,1)*MAX(1,L72/_xlfn.XLOOKUP(D72,D73:D$1000,L73:L$1000,L72,0,1))*_xlfn.XLOOKUP(D72,D73:D$1000,I73:I$1000,0,0,1)-G72*H72)/I72,_xlfn.XLOOKUP(D72,D73:D$1000,N73:N$1000,,0,1)*MAX(1,L72/_xlfn.XLOOKUP(D72,D73:D$1000,L73:L$1000,,0,1)))</f>
        <v>474.98876620404997</v>
      </c>
      <c r="O72" s="59" cm="1">
        <f t="array" ref="O72">IFERROR(IF(I72&lt;_xlfn.XLOOKUP(D72,D73:D$1000,I73:I$1000,,0,1),G72*H72-_xlfn.XLOOKUP(D72,D73:D$1000,N73:N$1000,,0,1)*-E72*MAX(1,M72/IFERROR(_xlfn.XLOOKUP(D72,D73:D$1000,L73:L$1000,,0,1),M72)),0),0)</f>
        <v>0</v>
      </c>
      <c r="P72" s="56" t="str" cm="1">
        <f t="array" ref="P72">IF(O72&lt;0,1,IF(E72&lt;0, _xlfn.LET(_xlpm.v_cant, ABS(E72), _xlpm.v_fecha, B72, _xlpm.v_ticker, D72, _xlpm.rango_f, B73:B$1000, _xlpm.rango_t, E73:E$1000, _xlpm.filtro, D73:D$1000=_xlpm.v_ticker, _xlpm.c_fechas, _xlfn._xlws.FILTER(_xlpm.rango_f, _xlpm.filtro*(_xlpm.rango_t&gt;0), _xlpm.v_fecha), _xlpm.c_cants, _xlfn._xlws.FILTER(_xlpm.rango_t, _xlpm.filtro*(_xlpm.rango_t&gt;0), 0), _xlpm.v_acums_pasadas, ABS(SUMIFS(E73:E$1000, D73:D$1000, _xlpm.v_ticker, E73:E$1000,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3" spans="1:16" x14ac:dyDescent="0.45">
      <c r="A73" s="3" t="s">
        <v>66</v>
      </c>
      <c r="B73" s="4">
        <f t="shared" si="1"/>
        <v>45979</v>
      </c>
      <c r="C73" s="3" t="s">
        <v>90</v>
      </c>
      <c r="D73" s="3" t="s">
        <v>169</v>
      </c>
      <c r="E73" s="3">
        <v>0.66927592000000002</v>
      </c>
      <c r="F73" s="3">
        <v>17.885000000000002</v>
      </c>
      <c r="G73" s="3">
        <v>-11.99</v>
      </c>
      <c r="H73" s="5">
        <v>18.372800000000002</v>
      </c>
      <c r="I73" s="8">
        <f>SUMIF(D73:D$1000,D73,E73:E$1000)</f>
        <v>0.66927592000000002</v>
      </c>
      <c r="J73" s="9" cm="1">
        <f t="array" ref="J73">IF(I73&gt;IFERROR(_xlfn.XLOOKUP(D73,D74:D$1000,I74:I$1000,,0,1),0),(IFERROR(_xlfn.XLOOKUP(D73,D74:D$1000,J74:J$1000,,0,1),0)*IFERROR(_xlfn.XLOOKUP(D73,D74:D$1000,I74:I$1000,,0,1),0)-G73*H73)/I73,_xlfn.XLOOKUP(D73,D74:D$1000,J74:J$1000,,0,1))</f>
        <v>329.14656783109729</v>
      </c>
      <c r="K73" s="10" cm="1">
        <f t="array" ref="K73">IFERROR(IF(I73&lt;_xlfn.XLOOKUP(D73,D74:D$1000,I74:I$1000,,0,1),G73*H73-_xlfn.XLOOKUP(D73,D74:D$1000,J74:J$1000,,0,1)*-E73,0),0)</f>
        <v>0</v>
      </c>
      <c r="L73" s="56">
        <v>142.64500000000001</v>
      </c>
      <c r="M73" s="56">
        <v>141.708</v>
      </c>
      <c r="N73" s="59" cm="1">
        <f t="array" ref="N73">IF(I73&gt;_xlfn.XLOOKUP(D73,D74:D$1000,I74:I$1000,0,0,1),(_xlfn.XLOOKUP(D73,D74:D$1000,N74:N$1000,0,0,1)*MAX(1,L73/_xlfn.XLOOKUP(D73,D74:D$1000,L74:L$1000,L73,0,1))*_xlfn.XLOOKUP(D73,D74:D$1000,I74:I$1000,0,0,1)-G73*H73)/I73,_xlfn.XLOOKUP(D73,D74:D$1000,N74:N$1000,,0,1)*MAX(1,L73/_xlfn.XLOOKUP(D73,D74:D$1000,L74:L$1000,,0,1)))</f>
        <v>329.14656783109729</v>
      </c>
      <c r="O73" s="59" cm="1">
        <f t="array" ref="O73">IFERROR(IF(I73&lt;_xlfn.XLOOKUP(D73,D74:D$1000,I74:I$1000,,0,1),G73*H73-_xlfn.XLOOKUP(D73,D74:D$1000,N74:N$1000,,0,1)*-E73*MAX(1,M73/IFERROR(_xlfn.XLOOKUP(D73,D74:D$1000,L74:L$1000,,0,1),M73)),0),0)</f>
        <v>0</v>
      </c>
      <c r="P73" s="56" t="str" cm="1">
        <f t="array" ref="P73">IF(O73&lt;0,1,IF(E73&lt;0, _xlfn.LET(_xlpm.v_cant, ABS(E73), _xlpm.v_fecha, B73, _xlpm.v_ticker, D73, _xlpm.rango_f, B74:B$1000, _xlpm.rango_t, E74:E$1000, _xlpm.filtro, D74:D$1000=_xlpm.v_ticker, _xlpm.c_fechas, _xlfn._xlws.FILTER(_xlpm.rango_f, _xlpm.filtro*(_xlpm.rango_t&gt;0), _xlpm.v_fecha), _xlpm.c_cants, _xlfn._xlws.FILTER(_xlpm.rango_t, _xlpm.filtro*(_xlpm.rango_t&gt;0), 0), _xlpm.v_acums_pasadas, ABS(SUMIFS(E74:E$1000, D74:D$1000, _xlpm.v_ticker, E74:E$1000,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4" spans="1:16" x14ac:dyDescent="0.45">
      <c r="A74" s="3" t="s">
        <v>65</v>
      </c>
      <c r="B74" s="4">
        <f t="shared" si="1"/>
        <v>45975</v>
      </c>
      <c r="C74" s="3" t="s">
        <v>90</v>
      </c>
      <c r="D74" s="3" t="s">
        <v>97</v>
      </c>
      <c r="E74" s="3">
        <v>0.18658461000000001</v>
      </c>
      <c r="F74" s="3">
        <v>42.768799999999999</v>
      </c>
      <c r="G74" s="3">
        <v>-7.99</v>
      </c>
      <c r="H74" s="5">
        <v>18.3262</v>
      </c>
      <c r="I74" s="8">
        <f>SUMIF(D74:D$1000,D74,E74:E$1000)</f>
        <v>12.26167188</v>
      </c>
      <c r="J74" s="9" cm="1">
        <f t="array" ref="J74">IF(I74&gt;IFERROR(_xlfn.XLOOKUP(D74,D75:D$1000,I75:I$1000,,0,1),0),(IFERROR(_xlfn.XLOOKUP(D74,D75:D$1000,J75:J$1000,,0,1),0)*IFERROR(_xlfn.XLOOKUP(D74,D75:D$1000,I75:I$1000,,0,1),0)-G74*H74)/I74,_xlfn.XLOOKUP(D74,D75:D$1000,J75:J$1000,,0,1))</f>
        <v>268.7792054466147</v>
      </c>
      <c r="K74" s="10" cm="1">
        <f t="array" ref="K74">IFERROR(IF(I74&lt;_xlfn.XLOOKUP(D74,D75:D$1000,I75:I$1000,,0,1),G74*H74-_xlfn.XLOOKUP(D74,D75:D$1000,J75:J$1000,,0,1)*-E74,0),0)</f>
        <v>0</v>
      </c>
      <c r="L74" s="56">
        <v>142.64500000000001</v>
      </c>
      <c r="M74" s="56">
        <v>141.708</v>
      </c>
      <c r="N74" s="59" cm="1">
        <f t="array" ref="N74">IF(I74&gt;_xlfn.XLOOKUP(D74,D75:D$1000,I75:I$1000,0,0,1),(_xlfn.XLOOKUP(D74,D75:D$1000,N75:N$1000,0,0,1)*MAX(1,L74/_xlfn.XLOOKUP(D74,D75:D$1000,L75:L$1000,L74,0,1))*_xlfn.XLOOKUP(D74,D75:D$1000,I75:I$1000,0,0,1)-G74*H74)/I74,_xlfn.XLOOKUP(D74,D75:D$1000,N75:N$1000,,0,1)*MAX(1,L74/_xlfn.XLOOKUP(D74,D75:D$1000,L75:L$1000,,0,1)))</f>
        <v>277.35588183142073</v>
      </c>
      <c r="O74" s="59" cm="1">
        <f t="array" ref="O74">IFERROR(IF(I74&lt;_xlfn.XLOOKUP(D74,D75:D$1000,I75:I$1000,,0,1),G74*H74-_xlfn.XLOOKUP(D74,D75:D$1000,N75:N$1000,,0,1)*-E74*MAX(1,M74/IFERROR(_xlfn.XLOOKUP(D74,D75:D$1000,L75:L$1000,,0,1),M74)),0),0)</f>
        <v>0</v>
      </c>
      <c r="P74" s="56" t="str" cm="1">
        <f t="array" ref="P74">IF(O74&lt;0,1,IF(E74&lt;0, _xlfn.LET(_xlpm.v_cant, ABS(E74), _xlpm.v_fecha, B74, _xlpm.v_ticker, D74, _xlpm.rango_f, B75:B$1000, _xlpm.rango_t, E75:E$1000, _xlpm.filtro, D75:D$1000=_xlpm.v_ticker, _xlpm.c_fechas, _xlfn._xlws.FILTER(_xlpm.rango_f, _xlpm.filtro*(_xlpm.rango_t&gt;0), _xlpm.v_fecha), _xlpm.c_cants, _xlfn._xlws.FILTER(_xlpm.rango_t, _xlpm.filtro*(_xlpm.rango_t&gt;0), 0), _xlpm.v_acums_pasadas, ABS(SUMIFS(E75:E$1000, D75:D$1000, _xlpm.v_ticker, E75:E$1000,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5" spans="1:16" x14ac:dyDescent="0.45">
      <c r="A75" s="3" t="s">
        <v>65</v>
      </c>
      <c r="B75" s="4">
        <f t="shared" si="1"/>
        <v>45975</v>
      </c>
      <c r="C75" s="3" t="s">
        <v>90</v>
      </c>
      <c r="D75" s="3" t="s">
        <v>197</v>
      </c>
      <c r="E75" s="3">
        <v>1</v>
      </c>
      <c r="F75" s="3">
        <v>3.1987000000000001</v>
      </c>
      <c r="G75" s="3">
        <v>-3.2</v>
      </c>
      <c r="H75" s="5">
        <v>18.3262</v>
      </c>
      <c r="I75" s="8">
        <f>SUMIF(D75:D$1000,D75,E75:E$1000)</f>
        <v>5.4475485200000007</v>
      </c>
      <c r="J75" s="9" cm="1">
        <f t="array" ref="J75">IF(I75&gt;IFERROR(_xlfn.XLOOKUP(D75,D76:D$1000,I76:I$1000,,0,1),0),(IFERROR(_xlfn.XLOOKUP(D75,D76:D$1000,J76:J$1000,,0,1),0)*IFERROR(_xlfn.XLOOKUP(D75,D76:D$1000,I76:I$1000,,0,1),0)-G75*H75)/I75,_xlfn.XLOOKUP(D75,D76:D$1000,J76:J$1000,,0,1))</f>
        <v>67.6933370388778</v>
      </c>
      <c r="K75" s="10" cm="1">
        <f t="array" ref="K75">IFERROR(IF(I75&lt;_xlfn.XLOOKUP(D75,D76:D$1000,I76:I$1000,,0,1),G75*H75-_xlfn.XLOOKUP(D75,D76:D$1000,J76:J$1000,,0,1)*-E75,0),0)</f>
        <v>0</v>
      </c>
      <c r="L75" s="56">
        <v>142.64500000000001</v>
      </c>
      <c r="M75" s="56">
        <v>141.708</v>
      </c>
      <c r="N75" s="59" cm="1">
        <f t="array" ref="N75">IF(I75&gt;_xlfn.XLOOKUP(D75,D76:D$1000,I76:I$1000,0,0,1),(_xlfn.XLOOKUP(D75,D76:D$1000,N76:N$1000,0,0,1)*MAX(1,L75/_xlfn.XLOOKUP(D75,D76:D$1000,L76:L$1000,L75,0,1))*_xlfn.XLOOKUP(D75,D76:D$1000,I76:I$1000,0,0,1)-G75*H75)/I75,_xlfn.XLOOKUP(D75,D76:D$1000,N76:N$1000,,0,1)*MAX(1,L75/_xlfn.XLOOKUP(D75,D76:D$1000,L76:L$1000,,0,1)))</f>
        <v>67.6933370388778</v>
      </c>
      <c r="O75" s="59" cm="1">
        <f t="array" ref="O75">IFERROR(IF(I75&lt;_xlfn.XLOOKUP(D75,D76:D$1000,I76:I$1000,,0,1),G75*H75-_xlfn.XLOOKUP(D75,D76:D$1000,N76:N$1000,,0,1)*-E75*MAX(1,M75/IFERROR(_xlfn.XLOOKUP(D75,D76:D$1000,L76:L$1000,,0,1),M75)),0),0)</f>
        <v>0</v>
      </c>
      <c r="P75" s="56" t="str" cm="1">
        <f t="array" ref="P75">IF(O75&lt;0,1,IF(E75&lt;0, _xlfn.LET(_xlpm.v_cant, ABS(E75), _xlpm.v_fecha, B75, _xlpm.v_ticker, D75, _xlpm.rango_f, B76:B$1000, _xlpm.rango_t, E76:E$1000, _xlpm.filtro, D76:D$1000=_xlpm.v_ticker, _xlpm.c_fechas, _xlfn._xlws.FILTER(_xlpm.rango_f, _xlpm.filtro*(_xlpm.rango_t&gt;0), _xlpm.v_fecha), _xlpm.c_cants, _xlfn._xlws.FILTER(_xlpm.rango_t, _xlpm.filtro*(_xlpm.rango_t&gt;0), 0), _xlpm.v_acums_pasadas, ABS(SUMIFS(E76:E$1000, D76:D$1000, _xlpm.v_ticker, E76:E$1000,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6" spans="1:16" x14ac:dyDescent="0.45">
      <c r="A76" s="3" t="s">
        <v>65</v>
      </c>
      <c r="B76" s="4">
        <f t="shared" si="1"/>
        <v>45975</v>
      </c>
      <c r="C76" s="3" t="s">
        <v>90</v>
      </c>
      <c r="D76" s="3" t="s">
        <v>197</v>
      </c>
      <c r="E76" s="3">
        <v>0.55688247999999996</v>
      </c>
      <c r="F76" s="3">
        <v>3.1987000000000001</v>
      </c>
      <c r="G76" s="3">
        <v>-1.79</v>
      </c>
      <c r="H76" s="5">
        <v>18.3262</v>
      </c>
      <c r="I76" s="8">
        <f>SUMIF(D76:D$1000,D76,E76:E$1000)</f>
        <v>4.4475485199999998</v>
      </c>
      <c r="J76" s="9" cm="1">
        <f t="array" ref="J76">IF(I76&gt;IFERROR(_xlfn.XLOOKUP(D76,D77:D$1000,I77:I$1000,,0,1),0),(IFERROR(_xlfn.XLOOKUP(D76,D77:D$1000,J77:J$1000,,0,1),0)*IFERROR(_xlfn.XLOOKUP(D76,D77:D$1000,I77:I$1000,,0,1),0)-G76*H76)/I76,_xlfn.XLOOKUP(D76,D77:D$1000,J77:J$1000,,0,1))</f>
        <v>69.728052792552788</v>
      </c>
      <c r="K76" s="10" cm="1">
        <f t="array" ref="K76">IFERROR(IF(I76&lt;_xlfn.XLOOKUP(D76,D77:D$1000,I77:I$1000,,0,1),G76*H76-_xlfn.XLOOKUP(D76,D77:D$1000,J77:J$1000,,0,1)*-E76,0),0)</f>
        <v>0</v>
      </c>
      <c r="L76" s="56">
        <v>142.64500000000001</v>
      </c>
      <c r="M76" s="56">
        <v>141.708</v>
      </c>
      <c r="N76" s="59" cm="1">
        <f t="array" ref="N76">IF(I76&gt;_xlfn.XLOOKUP(D76,D77:D$1000,I77:I$1000,0,0,1),(_xlfn.XLOOKUP(D76,D77:D$1000,N77:N$1000,0,0,1)*MAX(1,L76/_xlfn.XLOOKUP(D76,D77:D$1000,L77:L$1000,L76,0,1))*_xlfn.XLOOKUP(D76,D77:D$1000,I77:I$1000,0,0,1)-G76*H76)/I76,_xlfn.XLOOKUP(D76,D77:D$1000,N77:N$1000,,0,1)*MAX(1,L76/_xlfn.XLOOKUP(D76,D77:D$1000,L77:L$1000,,0,1)))</f>
        <v>69.728052792552788</v>
      </c>
      <c r="O76" s="59" cm="1">
        <f t="array" ref="O76">IFERROR(IF(I76&lt;_xlfn.XLOOKUP(D76,D77:D$1000,I77:I$1000,,0,1),G76*H76-_xlfn.XLOOKUP(D76,D77:D$1000,N77:N$1000,,0,1)*-E76*MAX(1,M76/IFERROR(_xlfn.XLOOKUP(D76,D77:D$1000,L77:L$1000,,0,1),M76)),0),0)</f>
        <v>0</v>
      </c>
      <c r="P76" s="56" t="str" cm="1">
        <f t="array" ref="P76">IF(O76&lt;0,1,IF(E76&lt;0, _xlfn.LET(_xlpm.v_cant, ABS(E76), _xlpm.v_fecha, B76, _xlpm.v_ticker, D76, _xlpm.rango_f, B77:B$1000, _xlpm.rango_t, E77:E$1000, _xlpm.filtro, D77:D$1000=_xlpm.v_ticker, _xlpm.c_fechas, _xlfn._xlws.FILTER(_xlpm.rango_f, _xlpm.filtro*(_xlpm.rango_t&gt;0), _xlpm.v_fecha), _xlpm.c_cants, _xlfn._xlws.FILTER(_xlpm.rango_t, _xlpm.filtro*(_xlpm.rango_t&gt;0), 0), _xlpm.v_acums_pasadas, ABS(SUMIFS(E77:E$1000, D77:D$1000, _xlpm.v_ticker, E77:E$1000,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7" spans="1:16" x14ac:dyDescent="0.45">
      <c r="A77" s="3" t="s">
        <v>64</v>
      </c>
      <c r="B77" s="4">
        <f t="shared" si="1"/>
        <v>45973</v>
      </c>
      <c r="C77" s="3" t="s">
        <v>90</v>
      </c>
      <c r="D77" s="3" t="s">
        <v>157</v>
      </c>
      <c r="E77" s="3">
        <v>0.24346764000000001</v>
      </c>
      <c r="F77" s="3">
        <v>40.950000000000003</v>
      </c>
      <c r="G77" s="3">
        <v>-9.99</v>
      </c>
      <c r="H77" s="5">
        <v>18.298200000000001</v>
      </c>
      <c r="I77" s="8">
        <f>SUMIF(D77:D$1000,D77,E77:E$1000)</f>
        <v>1.15698748</v>
      </c>
      <c r="J77" s="9" cm="1">
        <f t="array" ref="J77">IF(I77&gt;IFERROR(_xlfn.XLOOKUP(D77,D78:D$1000,I78:I$1000,,0,1),0),(IFERROR(_xlfn.XLOOKUP(D77,D78:D$1000,J78:J$1000,,0,1),0)*IFERROR(_xlfn.XLOOKUP(D77,D78:D$1000,I78:I$1000,,0,1),0)-G77*H77)/I77,_xlfn.XLOOKUP(D77,D78:D$1000,J78:J$1000,,0,1))</f>
        <v>802.4620136771058</v>
      </c>
      <c r="K77" s="10" cm="1">
        <f t="array" ref="K77">IFERROR(IF(I77&lt;_xlfn.XLOOKUP(D77,D78:D$1000,I78:I$1000,,0,1),G77*H77-_xlfn.XLOOKUP(D77,D78:D$1000,J78:J$1000,,0,1)*-E77,0),0)</f>
        <v>0</v>
      </c>
      <c r="L77" s="56">
        <v>142.64500000000001</v>
      </c>
      <c r="M77" s="56">
        <v>141.708</v>
      </c>
      <c r="N77" s="59" cm="1">
        <f t="array" ref="N77">IF(I77&gt;_xlfn.XLOOKUP(D77,D78:D$1000,I78:I$1000,0,0,1),(_xlfn.XLOOKUP(D77,D78:D$1000,N78:N$1000,0,0,1)*MAX(1,L77/_xlfn.XLOOKUP(D77,D78:D$1000,L78:L$1000,L77,0,1))*_xlfn.XLOOKUP(D77,D78:D$1000,I78:I$1000,0,0,1)-G77*H77)/I77,_xlfn.XLOOKUP(D77,D78:D$1000,N78:N$1000,,0,1)*MAX(1,L77/_xlfn.XLOOKUP(D77,D78:D$1000,L78:L$1000,,0,1)))</f>
        <v>807.63764956851128</v>
      </c>
      <c r="O77" s="59" cm="1">
        <f t="array" ref="O77">IFERROR(IF(I77&lt;_xlfn.XLOOKUP(D77,D78:D$1000,I78:I$1000,,0,1),G77*H77-_xlfn.XLOOKUP(D77,D78:D$1000,N78:N$1000,,0,1)*-E77*MAX(1,M77/IFERROR(_xlfn.XLOOKUP(D77,D78:D$1000,L78:L$1000,,0,1),M77)),0),0)</f>
        <v>0</v>
      </c>
      <c r="P77" s="56" t="str" cm="1">
        <f t="array" ref="P77">IF(O77&lt;0,1,IF(E77&lt;0, _xlfn.LET(_xlpm.v_cant, ABS(E77), _xlpm.v_fecha, B77, _xlpm.v_ticker, D77, _xlpm.rango_f, B78:B$1000, _xlpm.rango_t, E78:E$1000, _xlpm.filtro, D78:D$1000=_xlpm.v_ticker, _xlpm.c_fechas, _xlfn._xlws.FILTER(_xlpm.rango_f, _xlpm.filtro*(_xlpm.rango_t&gt;0), _xlpm.v_fecha), _xlpm.c_cants, _xlfn._xlws.FILTER(_xlpm.rango_t, _xlpm.filtro*(_xlpm.rango_t&gt;0), 0), _xlpm.v_acums_pasadas, ABS(SUMIFS(E78:E$1000, D78:D$1000, _xlpm.v_ticker, E78:E$1000,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8" spans="1:16" x14ac:dyDescent="0.45">
      <c r="A78" s="3" t="s">
        <v>64</v>
      </c>
      <c r="B78" s="4">
        <f t="shared" si="1"/>
        <v>45973</v>
      </c>
      <c r="C78" s="3" t="s">
        <v>90</v>
      </c>
      <c r="D78" s="3" t="s">
        <v>128</v>
      </c>
      <c r="E78" s="3">
        <v>4.867262E-2</v>
      </c>
      <c r="F78" s="3">
        <v>245.9288</v>
      </c>
      <c r="G78" s="3">
        <v>-11.99</v>
      </c>
      <c r="H78" s="5">
        <v>18.298200000000001</v>
      </c>
      <c r="I78" s="8">
        <f>SUMIF(D78:D$1000,D78,E78:E$1000)</f>
        <v>0.27540331000000001</v>
      </c>
      <c r="J78" s="9" cm="1">
        <f t="array" ref="J78">IF(I78&gt;IFERROR(_xlfn.XLOOKUP(D78,D79:D$1000,I79:I$1000,,0,1),0),(IFERROR(_xlfn.XLOOKUP(D78,D79:D$1000,J79:J$1000,,0,1),0)*IFERROR(_xlfn.XLOOKUP(D78,D79:D$1000,I79:I$1000,,0,1),0)-G78*H78)/I78,_xlfn.XLOOKUP(D78,D79:D$1000,J79:J$1000,,0,1))</f>
        <v>2601.2681837411469</v>
      </c>
      <c r="K78" s="10" cm="1">
        <f t="array" ref="K78">IFERROR(IF(I78&lt;_xlfn.XLOOKUP(D78,D79:D$1000,I79:I$1000,,0,1),G78*H78-_xlfn.XLOOKUP(D78,D79:D$1000,J79:J$1000,,0,1)*-E78,0),0)</f>
        <v>0</v>
      </c>
      <c r="L78" s="56">
        <v>142.64500000000001</v>
      </c>
      <c r="M78" s="56">
        <v>141.708</v>
      </c>
      <c r="N78" s="59" cm="1">
        <f t="array" ref="N78">IF(I78&gt;_xlfn.XLOOKUP(D78,D79:D$1000,I79:I$1000,0,0,1),(_xlfn.XLOOKUP(D78,D79:D$1000,N79:N$1000,0,0,1)*MAX(1,L78/_xlfn.XLOOKUP(D78,D79:D$1000,L79:L$1000,L78,0,1))*_xlfn.XLOOKUP(D78,D79:D$1000,I79:I$1000,0,0,1)-G78*H78)/I78,_xlfn.XLOOKUP(D78,D79:D$1000,N79:N$1000,,0,1)*MAX(1,L78/_xlfn.XLOOKUP(D78,D79:D$1000,L79:L$1000,,0,1)))</f>
        <v>2677.9890431086451</v>
      </c>
      <c r="O78" s="59" cm="1">
        <f t="array" ref="O78">IFERROR(IF(I78&lt;_xlfn.XLOOKUP(D78,D79:D$1000,I79:I$1000,,0,1),G78*H78-_xlfn.XLOOKUP(D78,D79:D$1000,N79:N$1000,,0,1)*-E78*MAX(1,M78/IFERROR(_xlfn.XLOOKUP(D78,D79:D$1000,L79:L$1000,,0,1),M78)),0),0)</f>
        <v>0</v>
      </c>
      <c r="P78" s="56" t="str" cm="1">
        <f t="array" ref="P78">IF(O78&lt;0,1,IF(E78&lt;0, _xlfn.LET(_xlpm.v_cant, ABS(E78), _xlpm.v_fecha, B78, _xlpm.v_ticker, D78, _xlpm.rango_f, B79:B$1000, _xlpm.rango_t, E79:E$1000, _xlpm.filtro, D79:D$1000=_xlpm.v_ticker, _xlpm.c_fechas, _xlfn._xlws.FILTER(_xlpm.rango_f, _xlpm.filtro*(_xlpm.rango_t&gt;0), _xlpm.v_fecha), _xlpm.c_cants, _xlfn._xlws.FILTER(_xlpm.rango_t, _xlpm.filtro*(_xlpm.rango_t&gt;0), 0), _xlpm.v_acums_pasadas, ABS(SUMIFS(E79:E$1000, D79:D$1000, _xlpm.v_ticker, E79:E$1000,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79" spans="1:16" x14ac:dyDescent="0.45">
      <c r="A79" s="3" t="s">
        <v>64</v>
      </c>
      <c r="B79" s="4">
        <f t="shared" si="1"/>
        <v>45973</v>
      </c>
      <c r="C79" s="3" t="s">
        <v>90</v>
      </c>
      <c r="D79" s="3" t="s">
        <v>136</v>
      </c>
      <c r="E79" s="3">
        <v>7.159596E-2</v>
      </c>
      <c r="F79" s="3">
        <v>111.4588</v>
      </c>
      <c r="G79" s="3">
        <v>-7.99</v>
      </c>
      <c r="H79" s="5">
        <v>18.298200000000001</v>
      </c>
      <c r="I79" s="8">
        <f>SUMIF(D79:D$1000,D79,E79:E$1000)</f>
        <v>0.84694025000000006</v>
      </c>
      <c r="J79" s="9" cm="1">
        <f t="array" ref="J79">IF(I79&gt;IFERROR(_xlfn.XLOOKUP(D79,D80:D$1000,I80:I$1000,,0,1),0),(IFERROR(_xlfn.XLOOKUP(D79,D80:D$1000,J80:J$1000,,0,1),0)*IFERROR(_xlfn.XLOOKUP(D79,D80:D$1000,I80:I$1000,,0,1),0)-G79*H79)/I79,_xlfn.XLOOKUP(D79,D80:D$1000,J80:J$1000,,0,1))</f>
        <v>1332.2013176254168</v>
      </c>
      <c r="K79" s="10" cm="1">
        <f t="array" ref="K79">IFERROR(IF(I79&lt;_xlfn.XLOOKUP(D79,D80:D$1000,I80:I$1000,,0,1),G79*H79-_xlfn.XLOOKUP(D79,D80:D$1000,J80:J$1000,,0,1)*-E79,0),0)</f>
        <v>0</v>
      </c>
      <c r="L79" s="56">
        <v>142.64500000000001</v>
      </c>
      <c r="M79" s="56">
        <v>141.708</v>
      </c>
      <c r="N79" s="59" cm="1">
        <f t="array" ref="N79">IF(I79&gt;_xlfn.XLOOKUP(D79,D80:D$1000,I80:I$1000,0,0,1),(_xlfn.XLOOKUP(D79,D80:D$1000,N80:N$1000,0,0,1)*MAX(1,L79/_xlfn.XLOOKUP(D79,D80:D$1000,L80:L$1000,L79,0,1))*_xlfn.XLOOKUP(D79,D80:D$1000,I80:I$1000,0,0,1)-G79*H79)/I79,_xlfn.XLOOKUP(D79,D80:D$1000,N80:N$1000,,0,1)*MAX(1,L79/_xlfn.XLOOKUP(D79,D80:D$1000,L80:L$1000,,0,1)))</f>
        <v>1347.8400298489544</v>
      </c>
      <c r="O79" s="59" cm="1">
        <f t="array" ref="O79">IFERROR(IF(I79&lt;_xlfn.XLOOKUP(D79,D80:D$1000,I80:I$1000,,0,1),G79*H79-_xlfn.XLOOKUP(D79,D80:D$1000,N80:N$1000,,0,1)*-E79*MAX(1,M79/IFERROR(_xlfn.XLOOKUP(D79,D80:D$1000,L80:L$1000,,0,1),M79)),0),0)</f>
        <v>0</v>
      </c>
      <c r="P79" s="56" t="str" cm="1">
        <f t="array" ref="P79">IF(O79&lt;0,1,IF(E79&lt;0, _xlfn.LET(_xlpm.v_cant, ABS(E79), _xlpm.v_fecha, B79, _xlpm.v_ticker, D79, _xlpm.rango_f, B80:B$1000, _xlpm.rango_t, E80:E$1000, _xlpm.filtro, D80:D$1000=_xlpm.v_ticker, _xlpm.c_fechas, _xlfn._xlws.FILTER(_xlpm.rango_f, _xlpm.filtro*(_xlpm.rango_t&gt;0), _xlpm.v_fecha), _xlpm.c_cants, _xlfn._xlws.FILTER(_xlpm.rango_t, _xlpm.filtro*(_xlpm.rango_t&gt;0), 0), _xlpm.v_acums_pasadas, ABS(SUMIFS(E80:E$1000, D80:D$1000, _xlpm.v_ticker, E80:E$1000,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0" spans="1:16" x14ac:dyDescent="0.45">
      <c r="A80" s="3" t="s">
        <v>64</v>
      </c>
      <c r="B80" s="4">
        <f t="shared" si="1"/>
        <v>45973</v>
      </c>
      <c r="C80" s="3" t="s">
        <v>90</v>
      </c>
      <c r="D80" s="3" t="s">
        <v>139</v>
      </c>
      <c r="E80" s="3">
        <v>3.5501560000000001E-2</v>
      </c>
      <c r="F80" s="3">
        <v>224.77879999999999</v>
      </c>
      <c r="G80" s="3">
        <v>-7.99</v>
      </c>
      <c r="H80" s="5">
        <v>18.298200000000001</v>
      </c>
      <c r="I80" s="8">
        <f>SUMIF(D80:D$1000,D80,E80:E$1000)</f>
        <v>0.36514866000000001</v>
      </c>
      <c r="J80" s="9" cm="1">
        <f t="array" ref="J80">IF(I80&gt;IFERROR(_xlfn.XLOOKUP(D80,D81:D$1000,I81:I$1000,,0,1),0),(IFERROR(_xlfn.XLOOKUP(D80,D81:D$1000,J81:J$1000,,0,1),0)*IFERROR(_xlfn.XLOOKUP(D80,D81:D$1000,I81:I$1000,,0,1),0)-G80*H80)/I80,_xlfn.XLOOKUP(D80,D81:D$1000,J81:J$1000,,0,1))</f>
        <v>3086.9546392420002</v>
      </c>
      <c r="K80" s="10" cm="1">
        <f t="array" ref="K80">IFERROR(IF(I80&lt;_xlfn.XLOOKUP(D80,D81:D$1000,I81:I$1000,,0,1),G80*H80-_xlfn.XLOOKUP(D80,D81:D$1000,J81:J$1000,,0,1)*-E80,0),0)</f>
        <v>0</v>
      </c>
      <c r="L80" s="56">
        <v>142.64500000000001</v>
      </c>
      <c r="M80" s="56">
        <v>141.708</v>
      </c>
      <c r="N80" s="59" cm="1">
        <f t="array" ref="N80">IF(I80&gt;_xlfn.XLOOKUP(D80,D81:D$1000,I81:I$1000,0,0,1),(_xlfn.XLOOKUP(D80,D81:D$1000,N81:N$1000,0,0,1)*MAX(1,L80/_xlfn.XLOOKUP(D80,D81:D$1000,L81:L$1000,L80,0,1))*_xlfn.XLOOKUP(D80,D81:D$1000,I81:I$1000,0,0,1)-G80*H80)/I80,_xlfn.XLOOKUP(D80,D81:D$1000,N81:N$1000,,0,1)*MAX(1,L80/_xlfn.XLOOKUP(D80,D81:D$1000,L81:L$1000,,0,1)))</f>
        <v>3117.7448385421376</v>
      </c>
      <c r="O80" s="59" cm="1">
        <f t="array" ref="O80">IFERROR(IF(I80&lt;_xlfn.XLOOKUP(D80,D81:D$1000,I81:I$1000,,0,1),G80*H80-_xlfn.XLOOKUP(D80,D81:D$1000,N81:N$1000,,0,1)*-E80*MAX(1,M80/IFERROR(_xlfn.XLOOKUP(D80,D81:D$1000,L81:L$1000,,0,1),M80)),0),0)</f>
        <v>0</v>
      </c>
      <c r="P80" s="56" t="str" cm="1">
        <f t="array" ref="P80">IF(O80&lt;0,1,IF(E80&lt;0, _xlfn.LET(_xlpm.v_cant, ABS(E80), _xlpm.v_fecha, B80, _xlpm.v_ticker, D80, _xlpm.rango_f, B81:B$1000, _xlpm.rango_t, E81:E$1000, _xlpm.filtro, D81:D$1000=_xlpm.v_ticker, _xlpm.c_fechas, _xlfn._xlws.FILTER(_xlpm.rango_f, _xlpm.filtro*(_xlpm.rango_t&gt;0), _xlpm.v_fecha), _xlpm.c_cants, _xlfn._xlws.FILTER(_xlpm.rango_t, _xlpm.filtro*(_xlpm.rango_t&gt;0), 0), _xlpm.v_acums_pasadas, ABS(SUMIFS(E81:E$1000, D81:D$1000, _xlpm.v_ticker, E81:E$1000,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1" spans="1:16" x14ac:dyDescent="0.45">
      <c r="A81" s="3" t="s">
        <v>64</v>
      </c>
      <c r="B81" s="4">
        <f t="shared" si="1"/>
        <v>45973</v>
      </c>
      <c r="C81" s="3" t="s">
        <v>90</v>
      </c>
      <c r="D81" s="3" t="s">
        <v>139</v>
      </c>
      <c r="E81" s="3">
        <v>2.2165959999999998E-2</v>
      </c>
      <c r="F81" s="3">
        <v>224.6688</v>
      </c>
      <c r="G81" s="3">
        <v>-4.99</v>
      </c>
      <c r="H81" s="5">
        <v>18.298200000000001</v>
      </c>
      <c r="I81" s="8">
        <f>SUMIF(D81:D$1000,D81,E81:E$1000)</f>
        <v>0.32964709999999997</v>
      </c>
      <c r="J81" s="9" cm="1">
        <f t="array" ref="J81">IF(I81&gt;IFERROR(_xlfn.XLOOKUP(D81,D82:D$1000,I82:I$1000,,0,1),0),(IFERROR(_xlfn.XLOOKUP(D81,D82:D$1000,J82:J$1000,,0,1),0)*IFERROR(_xlfn.XLOOKUP(D81,D82:D$1000,I82:I$1000,,0,1),0)-G81*H81)/I81,_xlfn.XLOOKUP(D81,D82:D$1000,J82:J$1000,,0,1))</f>
        <v>2975.8937117905784</v>
      </c>
      <c r="K81" s="10" cm="1">
        <f t="array" ref="K81">IFERROR(IF(I81&lt;_xlfn.XLOOKUP(D81,D82:D$1000,I82:I$1000,,0,1),G81*H81-_xlfn.XLOOKUP(D81,D82:D$1000,J82:J$1000,,0,1)*-E81,0),0)</f>
        <v>0</v>
      </c>
      <c r="L81" s="56">
        <v>142.64500000000001</v>
      </c>
      <c r="M81" s="56">
        <v>141.708</v>
      </c>
      <c r="N81" s="59" cm="1">
        <f t="array" ref="N81">IF(I81&gt;_xlfn.XLOOKUP(D81,D82:D$1000,I82:I$1000,0,0,1),(_xlfn.XLOOKUP(D81,D82:D$1000,N82:N$1000,0,0,1)*MAX(1,L81/_xlfn.XLOOKUP(D81,D82:D$1000,L82:L$1000,L81,0,1))*_xlfn.XLOOKUP(D81,D82:D$1000,I82:I$1000,0,0,1)-G81*H81)/I81,_xlfn.XLOOKUP(D81,D82:D$1000,N82:N$1000,,0,1)*MAX(1,L81/_xlfn.XLOOKUP(D81,D82:D$1000,L82:L$1000,,0,1)))</f>
        <v>3009.9998817389201</v>
      </c>
      <c r="O81" s="59" cm="1">
        <f t="array" ref="O81">IFERROR(IF(I81&lt;_xlfn.XLOOKUP(D81,D82:D$1000,I82:I$1000,,0,1),G81*H81-_xlfn.XLOOKUP(D81,D82:D$1000,N82:N$1000,,0,1)*-E81*MAX(1,M81/IFERROR(_xlfn.XLOOKUP(D81,D82:D$1000,L82:L$1000,,0,1),M81)),0),0)</f>
        <v>0</v>
      </c>
      <c r="P81" s="56" t="str" cm="1">
        <f t="array" ref="P81">IF(O81&lt;0,1,IF(E81&lt;0, _xlfn.LET(_xlpm.v_cant, ABS(E81), _xlpm.v_fecha, B81, _xlpm.v_ticker, D81, _xlpm.rango_f, B82:B$1000, _xlpm.rango_t, E82:E$1000, _xlpm.filtro, D82:D$1000=_xlpm.v_ticker, _xlpm.c_fechas, _xlfn._xlws.FILTER(_xlpm.rango_f, _xlpm.filtro*(_xlpm.rango_t&gt;0), _xlpm.v_fecha), _xlpm.c_cants, _xlfn._xlws.FILTER(_xlpm.rango_t, _xlpm.filtro*(_xlpm.rango_t&gt;0), 0), _xlpm.v_acums_pasadas, ABS(SUMIFS(E82:E$1000, D82:D$1000, _xlpm.v_ticker, E82:E$1000,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2" spans="1:16" x14ac:dyDescent="0.45">
      <c r="A82" s="3" t="s">
        <v>63</v>
      </c>
      <c r="B82" s="4">
        <f t="shared" si="1"/>
        <v>45971</v>
      </c>
      <c r="C82" s="3" t="s">
        <v>90</v>
      </c>
      <c r="D82" s="3" t="s">
        <v>157</v>
      </c>
      <c r="E82" s="3">
        <v>0.26722917000000002</v>
      </c>
      <c r="F82" s="3">
        <v>37.308799999999998</v>
      </c>
      <c r="G82" s="3">
        <v>-9.99</v>
      </c>
      <c r="H82" s="5">
        <v>18.392199999999999</v>
      </c>
      <c r="I82" s="8">
        <f>SUMIF(D82:D$1000,D82,E82:E$1000)</f>
        <v>0.91351983999999997</v>
      </c>
      <c r="J82" s="9" cm="1">
        <f t="array" ref="J82">IF(I82&gt;IFERROR(_xlfn.XLOOKUP(D82,D83:D$1000,I83:I$1000,,0,1),0),(IFERROR(_xlfn.XLOOKUP(D82,D83:D$1000,J83:J$1000,,0,1),0)*IFERROR(_xlfn.XLOOKUP(D82,D83:D$1000,I83:I$1000,,0,1),0)-G82*H82)/I82,_xlfn.XLOOKUP(D82,D83:D$1000,J83:J$1000,,0,1))</f>
        <v>816.22691960362909</v>
      </c>
      <c r="K82" s="10" cm="1">
        <f t="array" ref="K82">IFERROR(IF(I82&lt;_xlfn.XLOOKUP(D82,D83:D$1000,I83:I$1000,,0,1),G82*H82-_xlfn.XLOOKUP(D82,D83:D$1000,J83:J$1000,,0,1)*-E82,0),0)</f>
        <v>0</v>
      </c>
      <c r="L82" s="56">
        <v>142.64500000000001</v>
      </c>
      <c r="M82" s="56">
        <v>141.708</v>
      </c>
      <c r="N82" s="59" cm="1">
        <f t="array" ref="N82">IF(I82&gt;_xlfn.XLOOKUP(D82,D83:D$1000,I83:I$1000,0,0,1),(_xlfn.XLOOKUP(D82,D83:D$1000,N83:N$1000,0,0,1)*MAX(1,L82/_xlfn.XLOOKUP(D82,D83:D$1000,L83:L$1000,L82,0,1))*_xlfn.XLOOKUP(D82,D83:D$1000,I83:I$1000,0,0,1)-G82*H82)/I82,_xlfn.XLOOKUP(D82,D83:D$1000,N83:N$1000,,0,1)*MAX(1,L82/_xlfn.XLOOKUP(D82,D83:D$1000,L83:L$1000,,0,1)))</f>
        <v>822.78194519277758</v>
      </c>
      <c r="O82" s="59" cm="1">
        <f t="array" ref="O82">IFERROR(IF(I82&lt;_xlfn.XLOOKUP(D82,D83:D$1000,I83:I$1000,,0,1),G82*H82-_xlfn.XLOOKUP(D82,D83:D$1000,N83:N$1000,,0,1)*-E82*MAX(1,M82/IFERROR(_xlfn.XLOOKUP(D82,D83:D$1000,L83:L$1000,,0,1),M82)),0),0)</f>
        <v>0</v>
      </c>
      <c r="P82" s="56" t="str" cm="1">
        <f t="array" ref="P82">IF(O82&lt;0,1,IF(E82&lt;0, _xlfn.LET(_xlpm.v_cant, ABS(E82), _xlpm.v_fecha, B82, _xlpm.v_ticker, D82, _xlpm.rango_f, B83:B$1000, _xlpm.rango_t, E83:E$1000, _xlpm.filtro, D83:D$1000=_xlpm.v_ticker, _xlpm.c_fechas, _xlfn._xlws.FILTER(_xlpm.rango_f, _xlpm.filtro*(_xlpm.rango_t&gt;0), _xlpm.v_fecha), _xlpm.c_cants, _xlfn._xlws.FILTER(_xlpm.rango_t, _xlpm.filtro*(_xlpm.rango_t&gt;0), 0), _xlpm.v_acums_pasadas, ABS(SUMIFS(E83:E$1000, D83:D$1000, _xlpm.v_ticker, E83:E$1000,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3" spans="1:16" x14ac:dyDescent="0.45">
      <c r="A83" s="3" t="s">
        <v>63</v>
      </c>
      <c r="B83" s="4">
        <f t="shared" si="1"/>
        <v>45971</v>
      </c>
      <c r="C83" s="3" t="s">
        <v>90</v>
      </c>
      <c r="D83" s="3" t="s">
        <v>165</v>
      </c>
      <c r="E83" s="3">
        <v>0.17883793000000001</v>
      </c>
      <c r="F83" s="3">
        <v>55.748800000000003</v>
      </c>
      <c r="G83" s="3">
        <v>-9.99</v>
      </c>
      <c r="H83" s="5">
        <v>18.392199999999999</v>
      </c>
      <c r="I83" s="8">
        <f>SUMIF(D83:D$1000,D83,E83:E$1000)</f>
        <v>0.56255876000000005</v>
      </c>
      <c r="J83" s="9" cm="1">
        <f t="array" ref="J83">IF(I83&gt;IFERROR(_xlfn.XLOOKUP(D83,D84:D$1000,I84:I$1000,,0,1),0),(IFERROR(_xlfn.XLOOKUP(D83,D84:D$1000,J84:J$1000,,0,1),0)*IFERROR(_xlfn.XLOOKUP(D83,D84:D$1000,I84:I$1000,,0,1),0)-G83*H83)/I83,_xlfn.XLOOKUP(D83,D84:D$1000,J84:J$1000,,0,1))</f>
        <v>942.99790123257515</v>
      </c>
      <c r="K83" s="10" cm="1">
        <f t="array" ref="K83">IFERROR(IF(I83&lt;_xlfn.XLOOKUP(D83,D84:D$1000,I84:I$1000,,0,1),G83*H83-_xlfn.XLOOKUP(D83,D84:D$1000,J84:J$1000,,0,1)*-E83,0),0)</f>
        <v>0</v>
      </c>
      <c r="L83" s="56">
        <v>142.64500000000001</v>
      </c>
      <c r="M83" s="56">
        <v>141.708</v>
      </c>
      <c r="N83" s="59" cm="1">
        <f t="array" ref="N83">IF(I83&gt;_xlfn.XLOOKUP(D83,D84:D$1000,I84:I$1000,0,0,1),(_xlfn.XLOOKUP(D83,D84:D$1000,N84:N$1000,0,0,1)*MAX(1,L83/_xlfn.XLOOKUP(D83,D84:D$1000,L84:L$1000,L83,0,1))*_xlfn.XLOOKUP(D83,D84:D$1000,I84:I$1000,0,0,1)-G83*H83)/I83,_xlfn.XLOOKUP(D83,D84:D$1000,N84:N$1000,,0,1)*MAX(1,L83/_xlfn.XLOOKUP(D83,D84:D$1000,L84:L$1000,,0,1)))</f>
        <v>954.5893775367897</v>
      </c>
      <c r="O83" s="59" cm="1">
        <f t="array" ref="O83">IFERROR(IF(I83&lt;_xlfn.XLOOKUP(D83,D84:D$1000,I84:I$1000,,0,1),G83*H83-_xlfn.XLOOKUP(D83,D84:D$1000,N84:N$1000,,0,1)*-E83*MAX(1,M83/IFERROR(_xlfn.XLOOKUP(D83,D84:D$1000,L84:L$1000,,0,1),M83)),0),0)</f>
        <v>0</v>
      </c>
      <c r="P83" s="56" t="str" cm="1">
        <f t="array" ref="P83">IF(O83&lt;0,1,IF(E83&lt;0, _xlfn.LET(_xlpm.v_cant, ABS(E83), _xlpm.v_fecha, B83, _xlpm.v_ticker, D83, _xlpm.rango_f, B84:B$1000, _xlpm.rango_t, E84:E$1000, _xlpm.filtro, D84:D$1000=_xlpm.v_ticker, _xlpm.c_fechas, _xlfn._xlws.FILTER(_xlpm.rango_f, _xlpm.filtro*(_xlpm.rango_t&gt;0), _xlpm.v_fecha), _xlpm.c_cants, _xlfn._xlws.FILTER(_xlpm.rango_t, _xlpm.filtro*(_xlpm.rango_t&gt;0), 0), _xlpm.v_acums_pasadas, ABS(SUMIFS(E84:E$1000, D84:D$1000, _xlpm.v_ticker, E84:E$1000,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4" spans="1:16" x14ac:dyDescent="0.45">
      <c r="A84" s="3" t="s">
        <v>63</v>
      </c>
      <c r="B84" s="4">
        <f t="shared" si="1"/>
        <v>45971</v>
      </c>
      <c r="C84" s="3" t="s">
        <v>90</v>
      </c>
      <c r="D84" s="3" t="s">
        <v>198</v>
      </c>
      <c r="E84" s="3">
        <v>15</v>
      </c>
      <c r="F84" s="3">
        <v>1.6193</v>
      </c>
      <c r="G84" s="3">
        <v>-24.29</v>
      </c>
      <c r="H84" s="5">
        <v>18.392199999999999</v>
      </c>
      <c r="I84" s="8">
        <f>SUMIF(D84:D$1000,D84,E84:E$1000)</f>
        <v>15.39554128</v>
      </c>
      <c r="J84" s="9" cm="1">
        <f t="array" ref="J84">IF(I84&gt;IFERROR(_xlfn.XLOOKUP(D84,D85:D$1000,I85:I$1000,,0,1),0),(IFERROR(_xlfn.XLOOKUP(D84,D85:D$1000,J85:J$1000,,0,1),0)*IFERROR(_xlfn.XLOOKUP(D84,D85:D$1000,I85:I$1000,,0,1),0)-G84*H84)/I84,_xlfn.XLOOKUP(D84,D85:D$1000,J85:J$1000,,0,1))</f>
        <v>29.85416814133605</v>
      </c>
      <c r="K84" s="10" cm="1">
        <f t="array" ref="K84">IFERROR(IF(I84&lt;_xlfn.XLOOKUP(D84,D85:D$1000,I85:I$1000,,0,1),G84*H84-_xlfn.XLOOKUP(D84,D85:D$1000,J85:J$1000,,0,1)*-E84,0),0)</f>
        <v>0</v>
      </c>
      <c r="L84" s="56">
        <v>142.64500000000001</v>
      </c>
      <c r="M84" s="56">
        <v>141.708</v>
      </c>
      <c r="N84" s="59" cm="1">
        <f t="array" ref="N84">IF(I84&gt;_xlfn.XLOOKUP(D84,D85:D$1000,I85:I$1000,0,0,1),(_xlfn.XLOOKUP(D84,D85:D$1000,N85:N$1000,0,0,1)*MAX(1,L84/_xlfn.XLOOKUP(D84,D85:D$1000,L85:L$1000,L84,0,1))*_xlfn.XLOOKUP(D84,D85:D$1000,I85:I$1000,0,0,1)-G84*H84)/I84,_xlfn.XLOOKUP(D84,D85:D$1000,N85:N$1000,,0,1)*MAX(1,L84/_xlfn.XLOOKUP(D84,D85:D$1000,L85:L$1000,,0,1)))</f>
        <v>29.85416814133605</v>
      </c>
      <c r="O84" s="59" cm="1">
        <f t="array" ref="O84">IFERROR(IF(I84&lt;_xlfn.XLOOKUP(D84,D85:D$1000,I85:I$1000,,0,1),G84*H84-_xlfn.XLOOKUP(D84,D85:D$1000,N85:N$1000,,0,1)*-E84*MAX(1,M84/IFERROR(_xlfn.XLOOKUP(D84,D85:D$1000,L85:L$1000,,0,1),M84)),0),0)</f>
        <v>0</v>
      </c>
      <c r="P84" s="56" t="str" cm="1">
        <f t="array" ref="P84">IF(O84&lt;0,1,IF(E84&lt;0, _xlfn.LET(_xlpm.v_cant, ABS(E84), _xlpm.v_fecha, B84, _xlpm.v_ticker, D84, _xlpm.rango_f, B85:B$1000, _xlpm.rango_t, E85:E$1000, _xlpm.filtro, D85:D$1000=_xlpm.v_ticker, _xlpm.c_fechas, _xlfn._xlws.FILTER(_xlpm.rango_f, _xlpm.filtro*(_xlpm.rango_t&gt;0), _xlpm.v_fecha), _xlpm.c_cants, _xlfn._xlws.FILTER(_xlpm.rango_t, _xlpm.filtro*(_xlpm.rango_t&gt;0), 0), _xlpm.v_acums_pasadas, ABS(SUMIFS(E85:E$1000, D85:D$1000, _xlpm.v_ticker, E85:E$1000,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5" spans="1:16" x14ac:dyDescent="0.45">
      <c r="A85" s="3" t="s">
        <v>63</v>
      </c>
      <c r="B85" s="4">
        <f t="shared" si="1"/>
        <v>45971</v>
      </c>
      <c r="C85" s="3" t="s">
        <v>90</v>
      </c>
      <c r="D85" s="3" t="s">
        <v>198</v>
      </c>
      <c r="E85" s="3">
        <v>0.39554128</v>
      </c>
      <c r="F85" s="3">
        <v>1.6193</v>
      </c>
      <c r="G85" s="3">
        <v>-0.7</v>
      </c>
      <c r="H85" s="5">
        <v>18.392199999999999</v>
      </c>
      <c r="I85" s="8">
        <f>SUMIF(D85:D$1000,D85,E85:E$1000)</f>
        <v>0.39554128</v>
      </c>
      <c r="J85" s="9" cm="1">
        <f t="array" ref="J85">IF(I85&gt;IFERROR(_xlfn.XLOOKUP(D85,D86:D$1000,I86:I$1000,,0,1),0),(IFERROR(_xlfn.XLOOKUP(D85,D86:D$1000,J86:J$1000,,0,1),0)*IFERROR(_xlfn.XLOOKUP(D85,D86:D$1000,I86:I$1000,,0,1),0)-G85*H85)/I85,_xlfn.XLOOKUP(D85,D86:D$1000,J86:J$1000,,0,1))</f>
        <v>32.549169077877281</v>
      </c>
      <c r="K85" s="10" cm="1">
        <f t="array" ref="K85">IFERROR(IF(I85&lt;_xlfn.XLOOKUP(D85,D86:D$1000,I86:I$1000,,0,1),G85*H85-_xlfn.XLOOKUP(D85,D86:D$1000,J86:J$1000,,0,1)*-E85,0),0)</f>
        <v>0</v>
      </c>
      <c r="L85" s="56">
        <v>142.64500000000001</v>
      </c>
      <c r="M85" s="56">
        <v>141.708</v>
      </c>
      <c r="N85" s="59" cm="1">
        <f t="array" ref="N85">IF(I85&gt;_xlfn.XLOOKUP(D85,D86:D$1000,I86:I$1000,0,0,1),(_xlfn.XLOOKUP(D85,D86:D$1000,N86:N$1000,0,0,1)*MAX(1,L85/_xlfn.XLOOKUP(D85,D86:D$1000,L86:L$1000,L85,0,1))*_xlfn.XLOOKUP(D85,D86:D$1000,I86:I$1000,0,0,1)-G85*H85)/I85,_xlfn.XLOOKUP(D85,D86:D$1000,N86:N$1000,,0,1)*MAX(1,L85/_xlfn.XLOOKUP(D85,D86:D$1000,L86:L$1000,,0,1)))</f>
        <v>32.549169077877281</v>
      </c>
      <c r="O85" s="59" cm="1">
        <f t="array" ref="O85">IFERROR(IF(I85&lt;_xlfn.XLOOKUP(D85,D86:D$1000,I86:I$1000,,0,1),G85*H85-_xlfn.XLOOKUP(D85,D86:D$1000,N86:N$1000,,0,1)*-E85*MAX(1,M85/IFERROR(_xlfn.XLOOKUP(D85,D86:D$1000,L86:L$1000,,0,1),M85)),0),0)</f>
        <v>0</v>
      </c>
      <c r="P85" s="56" t="str" cm="1">
        <f t="array" ref="P85">IF(O85&lt;0,1,IF(E85&lt;0, _xlfn.LET(_xlpm.v_cant, ABS(E85), _xlpm.v_fecha, B85, _xlpm.v_ticker, D85, _xlpm.rango_f, B86:B$1000, _xlpm.rango_t, E86:E$1000, _xlpm.filtro, D86:D$1000=_xlpm.v_ticker, _xlpm.c_fechas, _xlfn._xlws.FILTER(_xlpm.rango_f, _xlpm.filtro*(_xlpm.rango_t&gt;0), _xlpm.v_fecha), _xlpm.c_cants, _xlfn._xlws.FILTER(_xlpm.rango_t, _xlpm.filtro*(_xlpm.rango_t&gt;0), 0), _xlpm.v_acums_pasadas, ABS(SUMIFS(E86:E$1000, D86:D$1000, _xlpm.v_ticker, E86:E$1000,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6" spans="1:16" x14ac:dyDescent="0.45">
      <c r="A86" s="3" t="s">
        <v>62</v>
      </c>
      <c r="B86" s="4">
        <f t="shared" si="1"/>
        <v>45968</v>
      </c>
      <c r="C86" s="3" t="s">
        <v>90</v>
      </c>
      <c r="D86" s="3" t="s">
        <v>190</v>
      </c>
      <c r="E86" s="3">
        <v>4.0854349999999998E-2</v>
      </c>
      <c r="F86" s="3">
        <v>366.17880000000002</v>
      </c>
      <c r="G86" s="3">
        <v>-14.99</v>
      </c>
      <c r="H86" s="5">
        <v>18.5</v>
      </c>
      <c r="I86" s="8">
        <f>SUMIF(D86:D$1000,D86,E86:E$1000)</f>
        <v>0.10632883999999999</v>
      </c>
      <c r="J86" s="9" cm="1">
        <f t="array" ref="J86">IF(I86&gt;IFERROR(_xlfn.XLOOKUP(D86,D87:D$1000,I87:I$1000,,0,1),0),(IFERROR(_xlfn.XLOOKUP(D86,D87:D$1000,J87:J$1000,,0,1),0)*IFERROR(_xlfn.XLOOKUP(D86,D87:D$1000,I87:I$1000,,0,1),0)-G86*H86)/I86,_xlfn.XLOOKUP(D86,D87:D$1000,J87:J$1000,,0,1))</f>
        <v>6108.9050534173039</v>
      </c>
      <c r="K86" s="10" cm="1">
        <f t="array" ref="K86">IFERROR(IF(I86&lt;_xlfn.XLOOKUP(D86,D87:D$1000,I87:I$1000,,0,1),G86*H86-_xlfn.XLOOKUP(D86,D87:D$1000,J87:J$1000,,0,1)*-E86,0),0)</f>
        <v>0</v>
      </c>
      <c r="L86" s="56">
        <v>142.64500000000001</v>
      </c>
      <c r="M86" s="56">
        <v>141.708</v>
      </c>
      <c r="N86" s="59" cm="1">
        <f t="array" ref="N86">IF(I86&gt;_xlfn.XLOOKUP(D86,D87:D$1000,I87:I$1000,0,0,1),(_xlfn.XLOOKUP(D86,D87:D$1000,N87:N$1000,0,0,1)*MAX(1,L86/_xlfn.XLOOKUP(D86,D87:D$1000,L87:L$1000,L86,0,1))*_xlfn.XLOOKUP(D86,D87:D$1000,I87:I$1000,0,0,1)-G86*H86)/I86,_xlfn.XLOOKUP(D86,D87:D$1000,N87:N$1000,,0,1)*MAX(1,L86/_xlfn.XLOOKUP(D86,D87:D$1000,L87:L$1000,,0,1)))</f>
        <v>6155.282545301844</v>
      </c>
      <c r="O86" s="59" cm="1">
        <f t="array" ref="O86">IFERROR(IF(I86&lt;_xlfn.XLOOKUP(D86,D87:D$1000,I87:I$1000,,0,1),G86*H86-_xlfn.XLOOKUP(D86,D87:D$1000,N87:N$1000,,0,1)*-E86*MAX(1,M86/IFERROR(_xlfn.XLOOKUP(D86,D87:D$1000,L87:L$1000,,0,1),M86)),0),0)</f>
        <v>0</v>
      </c>
      <c r="P86" s="56" t="str" cm="1">
        <f t="array" ref="P86">IF(O86&lt;0,1,IF(E86&lt;0, _xlfn.LET(_xlpm.v_cant, ABS(E86), _xlpm.v_fecha, B86, _xlpm.v_ticker, D86, _xlpm.rango_f, B87:B$1000, _xlpm.rango_t, E87:E$1000, _xlpm.filtro, D87:D$1000=_xlpm.v_ticker, _xlpm.c_fechas, _xlfn._xlws.FILTER(_xlpm.rango_f, _xlpm.filtro*(_xlpm.rango_t&gt;0), _xlpm.v_fecha), _xlpm.c_cants, _xlfn._xlws.FILTER(_xlpm.rango_t, _xlpm.filtro*(_xlpm.rango_t&gt;0), 0), _xlpm.v_acums_pasadas, ABS(SUMIFS(E87:E$1000, D87:D$1000, _xlpm.v_ticker, E87:E$1000,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7" spans="1:16" x14ac:dyDescent="0.45">
      <c r="A87" s="3" t="s">
        <v>62</v>
      </c>
      <c r="B87" s="4">
        <f t="shared" si="1"/>
        <v>45968</v>
      </c>
      <c r="C87" s="3" t="s">
        <v>90</v>
      </c>
      <c r="D87" s="3" t="s">
        <v>151</v>
      </c>
      <c r="E87" s="3">
        <v>0.73844452000000005</v>
      </c>
      <c r="F87" s="3">
        <v>20.258800000000001</v>
      </c>
      <c r="G87" s="3">
        <v>-14.99</v>
      </c>
      <c r="H87" s="5">
        <v>18.5</v>
      </c>
      <c r="I87" s="8">
        <f>SUMIF(D87:D$1000,D87,E87:E$1000)</f>
        <v>1.27657563</v>
      </c>
      <c r="J87" s="9" cm="1">
        <f t="array" ref="J87">IF(I87&gt;IFERROR(_xlfn.XLOOKUP(D87,D88:D$1000,I88:I$1000,,0,1),0),(IFERROR(_xlfn.XLOOKUP(D87,D88:D$1000,J88:J$1000,,0,1),0)*IFERROR(_xlfn.XLOOKUP(D87,D88:D$1000,I88:I$1000,,0,1),0)-G87*H87)/I87,_xlfn.XLOOKUP(D87,D88:D$1000,J88:J$1000,,0,1))</f>
        <v>350.44522979026323</v>
      </c>
      <c r="K87" s="10" cm="1">
        <f t="array" ref="K87">IFERROR(IF(I87&lt;_xlfn.XLOOKUP(D87,D88:D$1000,I88:I$1000,,0,1),G87*H87-_xlfn.XLOOKUP(D87,D88:D$1000,J88:J$1000,,0,1)*-E87,0),0)</f>
        <v>0</v>
      </c>
      <c r="L87" s="56">
        <v>142.64500000000001</v>
      </c>
      <c r="M87" s="56">
        <v>141.708</v>
      </c>
      <c r="N87" s="59" cm="1">
        <f t="array" ref="N87">IF(I87&gt;_xlfn.XLOOKUP(D87,D88:D$1000,I88:I$1000,0,0,1),(_xlfn.XLOOKUP(D87,D88:D$1000,N88:N$1000,0,0,1)*MAX(1,L87/_xlfn.XLOOKUP(D87,D88:D$1000,L88:L$1000,L87,0,1))*_xlfn.XLOOKUP(D87,D88:D$1000,I88:I$1000,0,0,1)-G87*H87)/I87,_xlfn.XLOOKUP(D87,D88:D$1000,N88:N$1000,,0,1)*MAX(1,L87/_xlfn.XLOOKUP(D87,D88:D$1000,L88:L$1000,,0,1)))</f>
        <v>352.12660615656165</v>
      </c>
      <c r="O87" s="59" cm="1">
        <f t="array" ref="O87">IFERROR(IF(I87&lt;_xlfn.XLOOKUP(D87,D88:D$1000,I88:I$1000,,0,1),G87*H87-_xlfn.XLOOKUP(D87,D88:D$1000,N88:N$1000,,0,1)*-E87*MAX(1,M87/IFERROR(_xlfn.XLOOKUP(D87,D88:D$1000,L88:L$1000,,0,1),M87)),0),0)</f>
        <v>0</v>
      </c>
      <c r="P87" s="56" t="str" cm="1">
        <f t="array" ref="P87">IF(O87&lt;0,1,IF(E87&lt;0, _xlfn.LET(_xlpm.v_cant, ABS(E87), _xlpm.v_fecha, B87, _xlpm.v_ticker, D87, _xlpm.rango_f, B88:B$1000, _xlpm.rango_t, E88:E$1000, _xlpm.filtro, D88:D$1000=_xlpm.v_ticker, _xlpm.c_fechas, _xlfn._xlws.FILTER(_xlpm.rango_f, _xlpm.filtro*(_xlpm.rango_t&gt;0), _xlpm.v_fecha), _xlpm.c_cants, _xlfn._xlws.FILTER(_xlpm.rango_t, _xlpm.filtro*(_xlpm.rango_t&gt;0), 0), _xlpm.v_acums_pasadas, ABS(SUMIFS(E88:E$1000, D88:D$1000, _xlpm.v_ticker, E88:E$1000,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8" spans="1:16" x14ac:dyDescent="0.45">
      <c r="A88" s="3" t="s">
        <v>62</v>
      </c>
      <c r="B88" s="4">
        <f t="shared" si="1"/>
        <v>45968</v>
      </c>
      <c r="C88" s="3" t="s">
        <v>90</v>
      </c>
      <c r="D88" s="3" t="s">
        <v>163</v>
      </c>
      <c r="E88" s="3">
        <v>2.9701890000000002E-2</v>
      </c>
      <c r="F88" s="3">
        <v>335.66879999999998</v>
      </c>
      <c r="G88" s="3">
        <v>-9.99</v>
      </c>
      <c r="H88" s="5">
        <v>18.5</v>
      </c>
      <c r="I88" s="8">
        <f>SUMIF(D88:D$1000,D88,E88:E$1000)</f>
        <v>6.3952889999999998E-2</v>
      </c>
      <c r="J88" s="9" cm="1">
        <f t="array" ref="J88">IF(I88&gt;IFERROR(_xlfn.XLOOKUP(D88,D89:D$1000,I89:I$1000,,0,1),0),(IFERROR(_xlfn.XLOOKUP(D88,D89:D$1000,J89:J$1000,,0,1),0)*IFERROR(_xlfn.XLOOKUP(D88,D89:D$1000,I89:I$1000,,0,1),0)-G88*H88)/I88,_xlfn.XLOOKUP(D88,D89:D$1000,J89:J$1000,,0,1))</f>
        <v>6413.8248795324189</v>
      </c>
      <c r="K88" s="10" cm="1">
        <f t="array" ref="K88">IFERROR(IF(I88&lt;_xlfn.XLOOKUP(D88,D89:D$1000,I89:I$1000,,0,1),G88*H88-_xlfn.XLOOKUP(D88,D89:D$1000,J89:J$1000,,0,1)*-E88,0),0)</f>
        <v>0</v>
      </c>
      <c r="L88" s="56">
        <v>142.64500000000001</v>
      </c>
      <c r="M88" s="56">
        <v>141.708</v>
      </c>
      <c r="N88" s="59" cm="1">
        <f t="array" ref="N88">IF(I88&gt;_xlfn.XLOOKUP(D88,D89:D$1000,I89:I$1000,0,0,1),(_xlfn.XLOOKUP(D88,D89:D$1000,N89:N$1000,0,0,1)*MAX(1,L88/_xlfn.XLOOKUP(D88,D89:D$1000,L89:L$1000,L88,0,1))*_xlfn.XLOOKUP(D88,D89:D$1000,I89:I$1000,0,0,1)-G88*H88)/I88,_xlfn.XLOOKUP(D88,D89:D$1000,N89:N$1000,,0,1)*MAX(1,L88/_xlfn.XLOOKUP(D88,D89:D$1000,L89:L$1000,,0,1)))</f>
        <v>6460.5090075767002</v>
      </c>
      <c r="O88" s="59" cm="1">
        <f t="array" ref="O88">IFERROR(IF(I88&lt;_xlfn.XLOOKUP(D88,D89:D$1000,I89:I$1000,,0,1),G88*H88-_xlfn.XLOOKUP(D88,D89:D$1000,N89:N$1000,,0,1)*-E88*MAX(1,M88/IFERROR(_xlfn.XLOOKUP(D88,D89:D$1000,L89:L$1000,,0,1),M88)),0),0)</f>
        <v>0</v>
      </c>
      <c r="P88" s="56" t="str" cm="1">
        <f t="array" ref="P88">IF(O88&lt;0,1,IF(E88&lt;0, _xlfn.LET(_xlpm.v_cant, ABS(E88), _xlpm.v_fecha, B88, _xlpm.v_ticker, D88, _xlpm.rango_f, B89:B$1000, _xlpm.rango_t, E89:E$1000, _xlpm.filtro, D89:D$1000=_xlpm.v_ticker, _xlpm.c_fechas, _xlfn._xlws.FILTER(_xlpm.rango_f, _xlpm.filtro*(_xlpm.rango_t&gt;0), _xlpm.v_fecha), _xlpm.c_cants, _xlfn._xlws.FILTER(_xlpm.rango_t, _xlpm.filtro*(_xlpm.rango_t&gt;0), 0), _xlpm.v_acums_pasadas, ABS(SUMIFS(E89:E$1000, D89:D$1000, _xlpm.v_ticker, E89:E$1000,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89" spans="1:16" x14ac:dyDescent="0.45">
      <c r="A89" s="3" t="s">
        <v>62</v>
      </c>
      <c r="B89" s="4">
        <f t="shared" si="1"/>
        <v>45968</v>
      </c>
      <c r="C89" s="3" t="s">
        <v>90</v>
      </c>
      <c r="D89" s="3" t="s">
        <v>136</v>
      </c>
      <c r="E89" s="3">
        <v>9.7203040000000004E-2</v>
      </c>
      <c r="F89" s="3">
        <v>102.5688</v>
      </c>
      <c r="G89" s="3">
        <v>-9.99</v>
      </c>
      <c r="H89" s="5">
        <v>18.5</v>
      </c>
      <c r="I89" s="8">
        <f>SUMIF(D89:D$1000,D89,E89:E$1000)</f>
        <v>0.77534429000000005</v>
      </c>
      <c r="J89" s="9" cm="1">
        <f t="array" ref="J89">IF(I89&gt;IFERROR(_xlfn.XLOOKUP(D89,D90:D$1000,I90:I$1000,,0,1),0),(IFERROR(_xlfn.XLOOKUP(D89,D90:D$1000,J90:J$1000,,0,1),0)*IFERROR(_xlfn.XLOOKUP(D89,D90:D$1000,I90:I$1000,,0,1),0)-G89*H89)/I89,_xlfn.XLOOKUP(D89,D90:D$1000,J90:J$1000,,0,1))</f>
        <v>1266.6531651377736</v>
      </c>
      <c r="K89" s="10" cm="1">
        <f t="array" ref="K89">IFERROR(IF(I89&lt;_xlfn.XLOOKUP(D89,D90:D$1000,I90:I$1000,,0,1),G89*H89-_xlfn.XLOOKUP(D89,D90:D$1000,J90:J$1000,,0,1)*-E89,0),0)</f>
        <v>0</v>
      </c>
      <c r="L89" s="56">
        <v>142.64500000000001</v>
      </c>
      <c r="M89" s="56">
        <v>141.708</v>
      </c>
      <c r="N89" s="59" cm="1">
        <f t="array" ref="N89">IF(I89&gt;_xlfn.XLOOKUP(D89,D90:D$1000,I90:I$1000,0,0,1),(_xlfn.XLOOKUP(D89,D90:D$1000,N90:N$1000,0,0,1)*MAX(1,L89/_xlfn.XLOOKUP(D89,D90:D$1000,L90:L$1000,L89,0,1))*_xlfn.XLOOKUP(D89,D90:D$1000,I90:I$1000,0,0,1)-G89*H89)/I89,_xlfn.XLOOKUP(D89,D90:D$1000,N90:N$1000,,0,1)*MAX(1,L89/_xlfn.XLOOKUP(D89,D90:D$1000,L90:L$1000,,0,1)))</f>
        <v>1283.7359695268806</v>
      </c>
      <c r="O89" s="59" cm="1">
        <f t="array" ref="O89">IFERROR(IF(I89&lt;_xlfn.XLOOKUP(D89,D90:D$1000,I90:I$1000,,0,1),G89*H89-_xlfn.XLOOKUP(D89,D90:D$1000,N90:N$1000,,0,1)*-E89*MAX(1,M89/IFERROR(_xlfn.XLOOKUP(D89,D90:D$1000,L90:L$1000,,0,1),M89)),0),0)</f>
        <v>0</v>
      </c>
      <c r="P89" s="56" t="str" cm="1">
        <f t="array" ref="P89">IF(O89&lt;0,1,IF(E89&lt;0, _xlfn.LET(_xlpm.v_cant, ABS(E89), _xlpm.v_fecha, B89, _xlpm.v_ticker, D89, _xlpm.rango_f, B90:B$1000, _xlpm.rango_t, E90:E$1000, _xlpm.filtro, D90:D$1000=_xlpm.v_ticker, _xlpm.c_fechas, _xlfn._xlws.FILTER(_xlpm.rango_f, _xlpm.filtro*(_xlpm.rango_t&gt;0), _xlpm.v_fecha), _xlpm.c_cants, _xlfn._xlws.FILTER(_xlpm.rango_t, _xlpm.filtro*(_xlpm.rango_t&gt;0), 0), _xlpm.v_acums_pasadas, ABS(SUMIFS(E90:E$1000, D90:D$1000, _xlpm.v_ticker, E90:E$1000,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0" spans="1:16" x14ac:dyDescent="0.45">
      <c r="A90" s="3" t="s">
        <v>62</v>
      </c>
      <c r="B90" s="4">
        <f t="shared" si="1"/>
        <v>45968</v>
      </c>
      <c r="C90" s="3" t="s">
        <v>90</v>
      </c>
      <c r="D90" s="3" t="s">
        <v>139</v>
      </c>
      <c r="E90" s="3">
        <v>4.8073949999999997E-2</v>
      </c>
      <c r="F90" s="3">
        <v>207.3888</v>
      </c>
      <c r="G90" s="3">
        <v>-9.99</v>
      </c>
      <c r="H90" s="5">
        <v>18.5</v>
      </c>
      <c r="I90" s="8">
        <f>SUMIF(D90:D$1000,D90,E90:E$1000)</f>
        <v>0.30748113999999999</v>
      </c>
      <c r="J90" s="9" cm="1">
        <f t="array" ref="J90">IF(I90&gt;IFERROR(_xlfn.XLOOKUP(D90,D91:D$1000,I91:I$1000,,0,1),0),(IFERROR(_xlfn.XLOOKUP(D90,D91:D$1000,J91:J$1000,,0,1),0)*IFERROR(_xlfn.XLOOKUP(D90,D91:D$1000,I91:I$1000,,0,1),0)-G90*H90)/I90,_xlfn.XLOOKUP(D90,D91:D$1000,J91:J$1000,,0,1))</f>
        <v>2893.4675928416291</v>
      </c>
      <c r="K90" s="10" cm="1">
        <f t="array" ref="K90">IFERROR(IF(I90&lt;_xlfn.XLOOKUP(D90,D91:D$1000,I91:I$1000,,0,1),G90*H90-_xlfn.XLOOKUP(D90,D91:D$1000,J91:J$1000,,0,1)*-E90,0),0)</f>
        <v>0</v>
      </c>
      <c r="L90" s="56">
        <v>142.64500000000001</v>
      </c>
      <c r="M90" s="56">
        <v>141.708</v>
      </c>
      <c r="N90" s="59" cm="1">
        <f t="array" ref="N90">IF(I90&gt;_xlfn.XLOOKUP(D90,D91:D$1000,I91:I$1000,0,0,1),(_xlfn.XLOOKUP(D90,D91:D$1000,N91:N$1000,0,0,1)*MAX(1,L90/_xlfn.XLOOKUP(D90,D91:D$1000,L91:L$1000,L90,0,1))*_xlfn.XLOOKUP(D90,D91:D$1000,I91:I$1000,0,0,1)-G90*H90)/I90,_xlfn.XLOOKUP(D90,D91:D$1000,N91:N$1000,,0,1)*MAX(1,L90/_xlfn.XLOOKUP(D90,D91:D$1000,L91:L$1000,,0,1)))</f>
        <v>2930.0324371620904</v>
      </c>
      <c r="O90" s="59" cm="1">
        <f t="array" ref="O90">IFERROR(IF(I90&lt;_xlfn.XLOOKUP(D90,D91:D$1000,I91:I$1000,,0,1),G90*H90-_xlfn.XLOOKUP(D90,D91:D$1000,N91:N$1000,,0,1)*-E90*MAX(1,M90/IFERROR(_xlfn.XLOOKUP(D90,D91:D$1000,L91:L$1000,,0,1),M90)),0),0)</f>
        <v>0</v>
      </c>
      <c r="P90" s="56" t="str" cm="1">
        <f t="array" ref="P90">IF(O90&lt;0,1,IF(E90&lt;0, _xlfn.LET(_xlpm.v_cant, ABS(E90), _xlpm.v_fecha, B90, _xlpm.v_ticker, D90, _xlpm.rango_f, B91:B$1000, _xlpm.rango_t, E91:E$1000, _xlpm.filtro, D91:D$1000=_xlpm.v_ticker, _xlpm.c_fechas, _xlfn._xlws.FILTER(_xlpm.rango_f, _xlpm.filtro*(_xlpm.rango_t&gt;0), _xlpm.v_fecha), _xlpm.c_cants, _xlfn._xlws.FILTER(_xlpm.rango_t, _xlpm.filtro*(_xlpm.rango_t&gt;0), 0), _xlpm.v_acums_pasadas, ABS(SUMIFS(E91:E$1000, D91:D$1000, _xlpm.v_ticker, E91:E$1000,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1" spans="1:16" x14ac:dyDescent="0.45">
      <c r="A91" s="3" t="s">
        <v>62</v>
      </c>
      <c r="B91" s="4">
        <f t="shared" si="1"/>
        <v>45968</v>
      </c>
      <c r="C91" s="3" t="s">
        <v>90</v>
      </c>
      <c r="D91" s="3" t="s">
        <v>196</v>
      </c>
      <c r="E91" s="3">
        <v>3</v>
      </c>
      <c r="F91" s="3">
        <v>4.6285999999999996</v>
      </c>
      <c r="G91" s="3">
        <v>-13.89</v>
      </c>
      <c r="H91" s="5">
        <v>18.5</v>
      </c>
      <c r="I91" s="8">
        <f>SUMIF(D91:D$1000,D91,E91:E$1000)</f>
        <v>3.23207881</v>
      </c>
      <c r="J91" s="9" cm="1">
        <f t="array" ref="J91">IF(I91&gt;IFERROR(_xlfn.XLOOKUP(D91,D92:D$1000,I92:I$1000,,0,1),0),(IFERROR(_xlfn.XLOOKUP(D91,D92:D$1000,J92:J$1000,,0,1),0)*IFERROR(_xlfn.XLOOKUP(D91,D92:D$1000,I92:I$1000,,0,1),0)-G91*H91)/I91,_xlfn.XLOOKUP(D91,D92:D$1000,J92:J$1000,,0,1))</f>
        <v>85.800816224527665</v>
      </c>
      <c r="K91" s="10" cm="1">
        <f t="array" ref="K91">IFERROR(IF(I91&lt;_xlfn.XLOOKUP(D91,D92:D$1000,I92:I$1000,,0,1),G91*H91-_xlfn.XLOOKUP(D91,D92:D$1000,J92:J$1000,,0,1)*-E91,0),0)</f>
        <v>0</v>
      </c>
      <c r="L91" s="56">
        <v>142.64500000000001</v>
      </c>
      <c r="M91" s="56">
        <v>141.708</v>
      </c>
      <c r="N91" s="59" cm="1">
        <f t="array" ref="N91">IF(I91&gt;_xlfn.XLOOKUP(D91,D92:D$1000,I92:I$1000,0,0,1),(_xlfn.XLOOKUP(D91,D92:D$1000,N92:N$1000,0,0,1)*MAX(1,L91/_xlfn.XLOOKUP(D91,D92:D$1000,L92:L$1000,L91,0,1))*_xlfn.XLOOKUP(D91,D92:D$1000,I92:I$1000,0,0,1)-G91*H91)/I91,_xlfn.XLOOKUP(D91,D92:D$1000,N92:N$1000,,0,1)*MAX(1,L91/_xlfn.XLOOKUP(D91,D92:D$1000,L92:L$1000,,0,1)))</f>
        <v>85.800816224527665</v>
      </c>
      <c r="O91" s="59" cm="1">
        <f t="array" ref="O91">IFERROR(IF(I91&lt;_xlfn.XLOOKUP(D91,D92:D$1000,I92:I$1000,,0,1),G91*H91-_xlfn.XLOOKUP(D91,D92:D$1000,N92:N$1000,,0,1)*-E91*MAX(1,M91/IFERROR(_xlfn.XLOOKUP(D91,D92:D$1000,L92:L$1000,,0,1),M91)),0),0)</f>
        <v>0</v>
      </c>
      <c r="P91" s="56" t="str" cm="1">
        <f t="array" ref="P91">IF(O91&lt;0,1,IF(E91&lt;0, _xlfn.LET(_xlpm.v_cant, ABS(E91), _xlpm.v_fecha, B91, _xlpm.v_ticker, D91, _xlpm.rango_f, B92:B$1000, _xlpm.rango_t, E92:E$1000, _xlpm.filtro, D92:D$1000=_xlpm.v_ticker, _xlpm.c_fechas, _xlfn._xlws.FILTER(_xlpm.rango_f, _xlpm.filtro*(_xlpm.rango_t&gt;0), _xlpm.v_fecha), _xlpm.c_cants, _xlfn._xlws.FILTER(_xlpm.rango_t, _xlpm.filtro*(_xlpm.rango_t&gt;0), 0), _xlpm.v_acums_pasadas, ABS(SUMIFS(E92:E$1000, D92:D$1000, _xlpm.v_ticker, E92:E$1000,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2" spans="1:16" x14ac:dyDescent="0.45">
      <c r="A92" s="3" t="s">
        <v>62</v>
      </c>
      <c r="B92" s="4">
        <f t="shared" si="1"/>
        <v>45968</v>
      </c>
      <c r="C92" s="3" t="s">
        <v>90</v>
      </c>
      <c r="D92" s="3" t="s">
        <v>196</v>
      </c>
      <c r="E92" s="3">
        <v>0.23207881</v>
      </c>
      <c r="F92" s="3">
        <v>4.6285999999999996</v>
      </c>
      <c r="G92" s="3">
        <v>-1.1000000000000001</v>
      </c>
      <c r="H92" s="5">
        <v>18.5</v>
      </c>
      <c r="I92" s="8">
        <f>SUMIF(D92:D$1000,D92,E92:E$1000)</f>
        <v>0.23207881</v>
      </c>
      <c r="J92" s="9" cm="1">
        <f t="array" ref="J92">IF(I92&gt;IFERROR(_xlfn.XLOOKUP(D92,D93:D$1000,I93:I$1000,,0,1),0),(IFERROR(_xlfn.XLOOKUP(D92,D93:D$1000,J93:J$1000,,0,1),0)*IFERROR(_xlfn.XLOOKUP(D92,D93:D$1000,I93:I$1000,,0,1),0)-G92*H92)/I92,_xlfn.XLOOKUP(D92,D93:D$1000,J93:J$1000,,0,1))</f>
        <v>87.685730549893819</v>
      </c>
      <c r="K92" s="10" cm="1">
        <f t="array" ref="K92">IFERROR(IF(I92&lt;_xlfn.XLOOKUP(D92,D93:D$1000,I93:I$1000,,0,1),G92*H92-_xlfn.XLOOKUP(D92,D93:D$1000,J93:J$1000,,0,1)*-E92,0),0)</f>
        <v>0</v>
      </c>
      <c r="L92" s="56">
        <v>142.64500000000001</v>
      </c>
      <c r="M92" s="56">
        <v>141.708</v>
      </c>
      <c r="N92" s="59" cm="1">
        <f t="array" ref="N92">IF(I92&gt;_xlfn.XLOOKUP(D92,D93:D$1000,I93:I$1000,0,0,1),(_xlfn.XLOOKUP(D92,D93:D$1000,N93:N$1000,0,0,1)*MAX(1,L92/_xlfn.XLOOKUP(D92,D93:D$1000,L93:L$1000,L92,0,1))*_xlfn.XLOOKUP(D92,D93:D$1000,I93:I$1000,0,0,1)-G92*H92)/I92,_xlfn.XLOOKUP(D92,D93:D$1000,N93:N$1000,,0,1)*MAX(1,L92/_xlfn.XLOOKUP(D92,D93:D$1000,L93:L$1000,,0,1)))</f>
        <v>87.685730549893819</v>
      </c>
      <c r="O92" s="59" cm="1">
        <f t="array" ref="O92">IFERROR(IF(I92&lt;_xlfn.XLOOKUP(D92,D93:D$1000,I93:I$1000,,0,1),G92*H92-_xlfn.XLOOKUP(D92,D93:D$1000,N93:N$1000,,0,1)*-E92*MAX(1,M92/IFERROR(_xlfn.XLOOKUP(D92,D93:D$1000,L93:L$1000,,0,1),M92)),0),0)</f>
        <v>0</v>
      </c>
      <c r="P92" s="56" t="str" cm="1">
        <f t="array" ref="P92">IF(O92&lt;0,1,IF(E92&lt;0, _xlfn.LET(_xlpm.v_cant, ABS(E92), _xlpm.v_fecha, B92, _xlpm.v_ticker, D92, _xlpm.rango_f, B93:B$1000, _xlpm.rango_t, E93:E$1000, _xlpm.filtro, D93:D$1000=_xlpm.v_ticker, _xlpm.c_fechas, _xlfn._xlws.FILTER(_xlpm.rango_f, _xlpm.filtro*(_xlpm.rango_t&gt;0), _xlpm.v_fecha), _xlpm.c_cants, _xlfn._xlws.FILTER(_xlpm.rango_t, _xlpm.filtro*(_xlpm.rango_t&gt;0), 0), _xlpm.v_acums_pasadas, ABS(SUMIFS(E93:E$1000, D93:D$1000, _xlpm.v_ticker, E93:E$1000,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3" spans="1:16" x14ac:dyDescent="0.45">
      <c r="A93" s="3" t="s">
        <v>62</v>
      </c>
      <c r="B93" s="4">
        <f t="shared" si="1"/>
        <v>45968</v>
      </c>
      <c r="C93" s="3" t="s">
        <v>90</v>
      </c>
      <c r="D93" s="3" t="s">
        <v>197</v>
      </c>
      <c r="E93" s="3">
        <v>3</v>
      </c>
      <c r="F93" s="3">
        <v>3.8451</v>
      </c>
      <c r="G93" s="3">
        <v>-11.54</v>
      </c>
      <c r="H93" s="5">
        <v>18.5</v>
      </c>
      <c r="I93" s="8">
        <f>SUMIF(D93:D$1000,D93,E93:E$1000)</f>
        <v>3.8906660400000002</v>
      </c>
      <c r="J93" s="9" cm="1">
        <f t="array" ref="J93">IF(I93&gt;IFERROR(_xlfn.XLOOKUP(D93,D94:D$1000,I94:I$1000,,0,1),0),(IFERROR(_xlfn.XLOOKUP(D93,D94:D$1000,J94:J$1000,,0,1),0)*IFERROR(_xlfn.XLOOKUP(D93,D94:D$1000,I94:I$1000,,0,1),0)-G93*H93)/I93,_xlfn.XLOOKUP(D93,D94:D$1000,J94:J$1000,,0,1))</f>
        <v>71.276999143313773</v>
      </c>
      <c r="K93" s="10" cm="1">
        <f t="array" ref="K93">IFERROR(IF(I93&lt;_xlfn.XLOOKUP(D93,D94:D$1000,I94:I$1000,,0,1),G93*H93-_xlfn.XLOOKUP(D93,D94:D$1000,J94:J$1000,,0,1)*-E93,0),0)</f>
        <v>0</v>
      </c>
      <c r="L93" s="56">
        <v>142.64500000000001</v>
      </c>
      <c r="M93" s="56">
        <v>141.708</v>
      </c>
      <c r="N93" s="59" cm="1">
        <f t="array" ref="N93">IF(I93&gt;_xlfn.XLOOKUP(D93,D94:D$1000,I94:I$1000,0,0,1),(_xlfn.XLOOKUP(D93,D94:D$1000,N94:N$1000,0,0,1)*MAX(1,L93/_xlfn.XLOOKUP(D93,D94:D$1000,L94:L$1000,L93,0,1))*_xlfn.XLOOKUP(D93,D94:D$1000,I94:I$1000,0,0,1)-G93*H93)/I93,_xlfn.XLOOKUP(D93,D94:D$1000,N94:N$1000,,0,1)*MAX(1,L93/_xlfn.XLOOKUP(D93,D94:D$1000,L94:L$1000,,0,1)))</f>
        <v>71.276999143313773</v>
      </c>
      <c r="O93" s="59" cm="1">
        <f t="array" ref="O93">IFERROR(IF(I93&lt;_xlfn.XLOOKUP(D93,D94:D$1000,I94:I$1000,,0,1),G93*H93-_xlfn.XLOOKUP(D93,D94:D$1000,N94:N$1000,,0,1)*-E93*MAX(1,M93/IFERROR(_xlfn.XLOOKUP(D93,D94:D$1000,L94:L$1000,,0,1),M93)),0),0)</f>
        <v>0</v>
      </c>
      <c r="P93" s="56" t="str" cm="1">
        <f t="array" ref="P93">IF(O93&lt;0,1,IF(E93&lt;0, _xlfn.LET(_xlpm.v_cant, ABS(E93), _xlpm.v_fecha, B93, _xlpm.v_ticker, D93, _xlpm.rango_f, B94:B$1000, _xlpm.rango_t, E94:E$1000, _xlpm.filtro, D94:D$1000=_xlpm.v_ticker, _xlpm.c_fechas, _xlfn._xlws.FILTER(_xlpm.rango_f, _xlpm.filtro*(_xlpm.rango_t&gt;0), _xlpm.v_fecha), _xlpm.c_cants, _xlfn._xlws.FILTER(_xlpm.rango_t, _xlpm.filtro*(_xlpm.rango_t&gt;0), 0), _xlpm.v_acums_pasadas, ABS(SUMIFS(E94:E$1000, D94:D$1000, _xlpm.v_ticker, E94:E$1000,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4" spans="1:16" x14ac:dyDescent="0.45">
      <c r="A94" s="3" t="s">
        <v>62</v>
      </c>
      <c r="B94" s="4">
        <f t="shared" si="1"/>
        <v>45968</v>
      </c>
      <c r="C94" s="3" t="s">
        <v>90</v>
      </c>
      <c r="D94" s="3" t="s">
        <v>197</v>
      </c>
      <c r="E94" s="3">
        <v>0.89066604000000005</v>
      </c>
      <c r="F94" s="3">
        <v>3.8451</v>
      </c>
      <c r="G94" s="3">
        <v>-3.45</v>
      </c>
      <c r="H94" s="5">
        <v>18.5</v>
      </c>
      <c r="I94" s="8">
        <f>SUMIF(D94:D$1000,D94,E94:E$1000)</f>
        <v>0.89066604000000005</v>
      </c>
      <c r="J94" s="9" cm="1">
        <f t="array" ref="J94">IF(I94&gt;IFERROR(_xlfn.XLOOKUP(D94,D95:D$1000,I95:I$1000,,0,1),0),(IFERROR(_xlfn.XLOOKUP(D94,D95:D$1000,J95:J$1000,,0,1),0)*IFERROR(_xlfn.XLOOKUP(D94,D95:D$1000,I95:I$1000,,0,1),0)-G94*H94)/I94,_xlfn.XLOOKUP(D94,D95:D$1000,J95:J$1000,,0,1))</f>
        <v>71.659855808581185</v>
      </c>
      <c r="K94" s="10" cm="1">
        <f t="array" ref="K94">IFERROR(IF(I94&lt;_xlfn.XLOOKUP(D94,D95:D$1000,I95:I$1000,,0,1),G94*H94-_xlfn.XLOOKUP(D94,D95:D$1000,J95:J$1000,,0,1)*-E94,0),0)</f>
        <v>0</v>
      </c>
      <c r="L94" s="56">
        <v>142.64500000000001</v>
      </c>
      <c r="M94" s="56">
        <v>141.708</v>
      </c>
      <c r="N94" s="59" cm="1">
        <f t="array" ref="N94">IF(I94&gt;_xlfn.XLOOKUP(D94,D95:D$1000,I95:I$1000,0,0,1),(_xlfn.XLOOKUP(D94,D95:D$1000,N95:N$1000,0,0,1)*MAX(1,L94/_xlfn.XLOOKUP(D94,D95:D$1000,L95:L$1000,L94,0,1))*_xlfn.XLOOKUP(D94,D95:D$1000,I95:I$1000,0,0,1)-G94*H94)/I94,_xlfn.XLOOKUP(D94,D95:D$1000,N95:N$1000,,0,1)*MAX(1,L94/_xlfn.XLOOKUP(D94,D95:D$1000,L95:L$1000,,0,1)))</f>
        <v>71.659855808581185</v>
      </c>
      <c r="O94" s="59" cm="1">
        <f t="array" ref="O94">IFERROR(IF(I94&lt;_xlfn.XLOOKUP(D94,D95:D$1000,I95:I$1000,,0,1),G94*H94-_xlfn.XLOOKUP(D94,D95:D$1000,N95:N$1000,,0,1)*-E94*MAX(1,M94/IFERROR(_xlfn.XLOOKUP(D94,D95:D$1000,L95:L$1000,,0,1),M94)),0),0)</f>
        <v>0</v>
      </c>
      <c r="P94" s="56" t="str" cm="1">
        <f t="array" ref="P94">IF(O94&lt;0,1,IF(E94&lt;0, _xlfn.LET(_xlpm.v_cant, ABS(E94), _xlpm.v_fecha, B94, _xlpm.v_ticker, D94, _xlpm.rango_f, B95:B$1000, _xlpm.rango_t, E95:E$1000, _xlpm.filtro, D95:D$1000=_xlpm.v_ticker, _xlpm.c_fechas, _xlfn._xlws.FILTER(_xlpm.rango_f, _xlpm.filtro*(_xlpm.rango_t&gt;0), _xlpm.v_fecha), _xlpm.c_cants, _xlfn._xlws.FILTER(_xlpm.rango_t, _xlpm.filtro*(_xlpm.rango_t&gt;0), 0), _xlpm.v_acums_pasadas, ABS(SUMIFS(E95:E$1000, D95:D$1000, _xlpm.v_ticker, E95:E$1000,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5" spans="1:16" x14ac:dyDescent="0.45">
      <c r="A95" s="3" t="s">
        <v>62</v>
      </c>
      <c r="B95" s="4">
        <f t="shared" si="1"/>
        <v>45968</v>
      </c>
      <c r="C95" s="3" t="s">
        <v>90</v>
      </c>
      <c r="D95" s="3" t="s">
        <v>183</v>
      </c>
      <c r="E95" s="3">
        <v>0.24056152</v>
      </c>
      <c r="F95" s="3">
        <v>145.11879999999999</v>
      </c>
      <c r="G95" s="3">
        <v>-34.99</v>
      </c>
      <c r="H95" s="5">
        <v>18.5</v>
      </c>
      <c r="I95" s="8">
        <f>SUMIF(D95:D$1000,D95,E95:E$1000)</f>
        <v>0.24056152</v>
      </c>
      <c r="J95" s="9" cm="1">
        <f t="array" ref="J95">IF(I95&gt;IFERROR(_xlfn.XLOOKUP(D95,D96:D$1000,I96:I$1000,,0,1),0),(IFERROR(_xlfn.XLOOKUP(D95,D96:D$1000,J96:J$1000,,0,1),0)*IFERROR(_xlfn.XLOOKUP(D95,D96:D$1000,I96:I$1000,,0,1),0)-G95*H95)/I95,_xlfn.XLOOKUP(D95,D96:D$1000,J96:J$1000,,0,1))</f>
        <v>2690.8501409535493</v>
      </c>
      <c r="K95" s="10" cm="1">
        <f t="array" ref="K95">IFERROR(IF(I95&lt;_xlfn.XLOOKUP(D95,D96:D$1000,I96:I$1000,,0,1),G95*H95-_xlfn.XLOOKUP(D95,D96:D$1000,J96:J$1000,,0,1)*-E95,0),0)</f>
        <v>0</v>
      </c>
      <c r="L95" s="56">
        <v>142.64500000000001</v>
      </c>
      <c r="M95" s="56">
        <v>141.708</v>
      </c>
      <c r="N95" s="59" cm="1">
        <f t="array" ref="N95">IF(I95&gt;_xlfn.XLOOKUP(D95,D96:D$1000,I96:I$1000,0,0,1),(_xlfn.XLOOKUP(D95,D96:D$1000,N96:N$1000,0,0,1)*MAX(1,L95/_xlfn.XLOOKUP(D95,D96:D$1000,L96:L$1000,L95,0,1))*_xlfn.XLOOKUP(D95,D96:D$1000,I96:I$1000,0,0,1)-G95*H95)/I95,_xlfn.XLOOKUP(D95,D96:D$1000,N96:N$1000,,0,1)*MAX(1,L95/_xlfn.XLOOKUP(D95,D96:D$1000,L96:L$1000,,0,1)))</f>
        <v>2690.8501409535493</v>
      </c>
      <c r="O95" s="59" cm="1">
        <f t="array" ref="O95">IFERROR(IF(I95&lt;_xlfn.XLOOKUP(D95,D96:D$1000,I96:I$1000,,0,1),G95*H95-_xlfn.XLOOKUP(D95,D96:D$1000,N96:N$1000,,0,1)*-E95*MAX(1,M95/IFERROR(_xlfn.XLOOKUP(D95,D96:D$1000,L96:L$1000,,0,1),M95)),0),0)</f>
        <v>0</v>
      </c>
      <c r="P95" s="56" t="str" cm="1">
        <f t="array" ref="P95">IF(O95&lt;0,1,IF(E95&lt;0, _xlfn.LET(_xlpm.v_cant, ABS(E95), _xlpm.v_fecha, B95, _xlpm.v_ticker, D95, _xlpm.rango_f, B96:B$1000, _xlpm.rango_t, E96:E$1000, _xlpm.filtro, D96:D$1000=_xlpm.v_ticker, _xlpm.c_fechas, _xlfn._xlws.FILTER(_xlpm.rango_f, _xlpm.filtro*(_xlpm.rango_t&gt;0), _xlpm.v_fecha), _xlpm.c_cants, _xlfn._xlws.FILTER(_xlpm.rango_t, _xlpm.filtro*(_xlpm.rango_t&gt;0), 0), _xlpm.v_acums_pasadas, ABS(SUMIFS(E96:E$1000, D96:D$1000, _xlpm.v_ticker, E96:E$1000,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6" spans="1:16" x14ac:dyDescent="0.45">
      <c r="A96" s="3" t="s">
        <v>62</v>
      </c>
      <c r="B96" s="4">
        <f t="shared" si="1"/>
        <v>45968</v>
      </c>
      <c r="C96" s="3" t="s">
        <v>90</v>
      </c>
      <c r="D96" s="3" t="s">
        <v>114</v>
      </c>
      <c r="E96" s="3">
        <v>0.24855731</v>
      </c>
      <c r="F96" s="3">
        <v>100.2988</v>
      </c>
      <c r="G96" s="3">
        <v>-24.99</v>
      </c>
      <c r="H96" s="5">
        <v>18.5</v>
      </c>
      <c r="I96" s="8">
        <f>SUMIF(D96:D$1000,D96,E96:E$1000)</f>
        <v>0.86145473000000006</v>
      </c>
      <c r="J96" s="9" cm="1">
        <f t="array" ref="J96">IF(I96&gt;IFERROR(_xlfn.XLOOKUP(D96,D97:D$1000,I97:I$1000,,0,1),0),(IFERROR(_xlfn.XLOOKUP(D96,D97:D$1000,J97:J$1000,,0,1),0)*IFERROR(_xlfn.XLOOKUP(D96,D97:D$1000,I97:I$1000,,0,1),0)-G96*H96)/I96,_xlfn.XLOOKUP(D96,D97:D$1000,J97:J$1000,,0,1))</f>
        <v>1911.1085187262249</v>
      </c>
      <c r="K96" s="10" cm="1">
        <f t="array" ref="K96">IFERROR(IF(I96&lt;_xlfn.XLOOKUP(D96,D97:D$1000,I97:I$1000,,0,1),G96*H96-_xlfn.XLOOKUP(D96,D97:D$1000,J97:J$1000,,0,1)*-E96,0),0)</f>
        <v>0</v>
      </c>
      <c r="L96" s="56">
        <v>142.64500000000001</v>
      </c>
      <c r="M96" s="56">
        <v>141.708</v>
      </c>
      <c r="N96" s="59" cm="1">
        <f t="array" ref="N96">IF(I96&gt;_xlfn.XLOOKUP(D96,D97:D$1000,I97:I$1000,0,0,1),(_xlfn.XLOOKUP(D96,D97:D$1000,N97:N$1000,0,0,1)*MAX(1,L96/_xlfn.XLOOKUP(D96,D97:D$1000,L97:L$1000,L96,0,1))*_xlfn.XLOOKUP(D96,D97:D$1000,I97:I$1000,0,0,1)-G96*H96)/I96,_xlfn.XLOOKUP(D96,D97:D$1000,N97:N$1000,,0,1)*MAX(1,L96/_xlfn.XLOOKUP(D96,D97:D$1000,L97:L$1000,,0,1)))</f>
        <v>1953.4049844274402</v>
      </c>
      <c r="O96" s="59" cm="1">
        <f t="array" ref="O96">IFERROR(IF(I96&lt;_xlfn.XLOOKUP(D96,D97:D$1000,I97:I$1000,,0,1),G96*H96-_xlfn.XLOOKUP(D96,D97:D$1000,N97:N$1000,,0,1)*-E96*MAX(1,M96/IFERROR(_xlfn.XLOOKUP(D96,D97:D$1000,L97:L$1000,,0,1),M96)),0),0)</f>
        <v>0</v>
      </c>
      <c r="P96" s="56" t="str" cm="1">
        <f t="array" ref="P96">IF(O96&lt;0,1,IF(E96&lt;0, _xlfn.LET(_xlpm.v_cant, ABS(E96), _xlpm.v_fecha, B96, _xlpm.v_ticker, D96, _xlpm.rango_f, B97:B$1000, _xlpm.rango_t, E97:E$1000, _xlpm.filtro, D97:D$1000=_xlpm.v_ticker, _xlpm.c_fechas, _xlfn._xlws.FILTER(_xlpm.rango_f, _xlpm.filtro*(_xlpm.rango_t&gt;0), _xlpm.v_fecha), _xlpm.c_cants, _xlfn._xlws.FILTER(_xlpm.rango_t, _xlpm.filtro*(_xlpm.rango_t&gt;0), 0), _xlpm.v_acums_pasadas, ABS(SUMIFS(E97:E$1000, D97:D$1000, _xlpm.v_ticker, E97:E$1000,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7" spans="1:16" x14ac:dyDescent="0.45">
      <c r="A97" s="3" t="s">
        <v>62</v>
      </c>
      <c r="B97" s="4">
        <f t="shared" si="1"/>
        <v>45968</v>
      </c>
      <c r="C97" s="3" t="s">
        <v>90</v>
      </c>
      <c r="D97" s="3" t="s">
        <v>113</v>
      </c>
      <c r="E97" s="3">
        <v>6.4294039999999997E-2</v>
      </c>
      <c r="F97" s="3">
        <v>155.06880000000001</v>
      </c>
      <c r="G97" s="3">
        <v>-9.99</v>
      </c>
      <c r="H97" s="5">
        <v>18.5</v>
      </c>
      <c r="I97" s="8">
        <f>SUMIF(D97:D$1000,D97,E97:E$1000)</f>
        <v>0.22158157000000001</v>
      </c>
      <c r="J97" s="9" cm="1">
        <f t="array" ref="J97">IF(I97&gt;IFERROR(_xlfn.XLOOKUP(D97,D98:D$1000,I98:I$1000,,0,1),0),(IFERROR(_xlfn.XLOOKUP(D97,D98:D$1000,J98:J$1000,,0,1),0)*IFERROR(_xlfn.XLOOKUP(D97,D98:D$1000,I98:I$1000,,0,1),0)-G97*H97)/I97,_xlfn.XLOOKUP(D97,D98:D$1000,J98:J$1000,,0,1))</f>
        <v>2861.2902449764429</v>
      </c>
      <c r="K97" s="10" cm="1">
        <f t="array" ref="K97">IFERROR(IF(I97&lt;_xlfn.XLOOKUP(D97,D98:D$1000,I98:I$1000,,0,1),G97*H97-_xlfn.XLOOKUP(D97,D98:D$1000,J98:J$1000,,0,1)*-E97,0),0)</f>
        <v>0</v>
      </c>
      <c r="L97" s="56">
        <v>142.64500000000001</v>
      </c>
      <c r="M97" s="56">
        <v>141.708</v>
      </c>
      <c r="N97" s="59" cm="1">
        <f t="array" ref="N97">IF(I97&gt;_xlfn.XLOOKUP(D97,D98:D$1000,I98:I$1000,0,0,1),(_xlfn.XLOOKUP(D97,D98:D$1000,N98:N$1000,0,0,1)*MAX(1,L97/_xlfn.XLOOKUP(D97,D98:D$1000,L98:L$1000,L97,0,1))*_xlfn.XLOOKUP(D97,D98:D$1000,I98:I$1000,0,0,1)-G97*H97)/I97,_xlfn.XLOOKUP(D97,D98:D$1000,N98:N$1000,,0,1)*MAX(1,L97/_xlfn.XLOOKUP(D97,D98:D$1000,L98:L$1000,,0,1)))</f>
        <v>2930.2999262607532</v>
      </c>
      <c r="O97" s="59" cm="1">
        <f t="array" ref="O97">IFERROR(IF(I97&lt;_xlfn.XLOOKUP(D97,D98:D$1000,I98:I$1000,,0,1),G97*H97-_xlfn.XLOOKUP(D97,D98:D$1000,N98:N$1000,,0,1)*-E97*MAX(1,M97/IFERROR(_xlfn.XLOOKUP(D97,D98:D$1000,L98:L$1000,,0,1),M97)),0),0)</f>
        <v>0</v>
      </c>
      <c r="P97" s="56" t="str" cm="1">
        <f t="array" ref="P97">IF(O97&lt;0,1,IF(E97&lt;0, _xlfn.LET(_xlpm.v_cant, ABS(E97), _xlpm.v_fecha, B97, _xlpm.v_ticker, D97, _xlpm.rango_f, B98:B$1000, _xlpm.rango_t, E98:E$1000, _xlpm.filtro, D98:D$1000=_xlpm.v_ticker, _xlpm.c_fechas, _xlfn._xlws.FILTER(_xlpm.rango_f, _xlpm.filtro*(_xlpm.rango_t&gt;0), _xlpm.v_fecha), _xlpm.c_cants, _xlfn._xlws.FILTER(_xlpm.rango_t, _xlpm.filtro*(_xlpm.rango_t&gt;0), 0), _xlpm.v_acums_pasadas, ABS(SUMIFS(E98:E$1000, D98:D$1000, _xlpm.v_ticker, E98:E$1000,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8" spans="1:16" x14ac:dyDescent="0.45">
      <c r="A98" s="3" t="s">
        <v>62</v>
      </c>
      <c r="B98" s="4">
        <f t="shared" si="1"/>
        <v>45968</v>
      </c>
      <c r="C98" s="3" t="s">
        <v>90</v>
      </c>
      <c r="D98" s="3" t="s">
        <v>103</v>
      </c>
      <c r="E98" s="3">
        <v>0.27481613999999999</v>
      </c>
      <c r="F98" s="3">
        <v>36.278799999999997</v>
      </c>
      <c r="G98" s="3">
        <v>-9.99</v>
      </c>
      <c r="H98" s="5">
        <v>18.5</v>
      </c>
      <c r="I98" s="8">
        <f>SUMIF(D98:D$1000,D98,E98:E$1000)</f>
        <v>1.02553531</v>
      </c>
      <c r="J98" s="9" cm="1">
        <f t="array" ref="J98">IF(I98&gt;IFERROR(_xlfn.XLOOKUP(D98,D99:D$1000,I99:I$1000,,0,1),0),(IFERROR(_xlfn.XLOOKUP(D98,D99:D$1000,J99:J$1000,,0,1),0)*IFERROR(_xlfn.XLOOKUP(D98,D99:D$1000,I99:I$1000,,0,1),0)-G98*H98)/I98,_xlfn.XLOOKUP(D98,D99:D$1000,J99:J$1000,,0,1))</f>
        <v>634.17109110571073</v>
      </c>
      <c r="K98" s="10" cm="1">
        <f t="array" ref="K98">IFERROR(IF(I98&lt;_xlfn.XLOOKUP(D98,D99:D$1000,I99:I$1000,,0,1),G98*H98-_xlfn.XLOOKUP(D98,D99:D$1000,J99:J$1000,,0,1)*-E98,0),0)</f>
        <v>0</v>
      </c>
      <c r="L98" s="56">
        <v>142.64500000000001</v>
      </c>
      <c r="M98" s="56">
        <v>141.708</v>
      </c>
      <c r="N98" s="59" cm="1">
        <f t="array" ref="N98">IF(I98&gt;_xlfn.XLOOKUP(D98,D99:D$1000,I99:I$1000,0,0,1),(_xlfn.XLOOKUP(D98,D99:D$1000,N99:N$1000,0,0,1)*MAX(1,L98/_xlfn.XLOOKUP(D98,D99:D$1000,L99:L$1000,L98,0,1))*_xlfn.XLOOKUP(D98,D99:D$1000,I99:I$1000,0,0,1)-G98*H98)/I98,_xlfn.XLOOKUP(D98,D99:D$1000,N99:N$1000,,0,1)*MAX(1,L98/_xlfn.XLOOKUP(D98,D99:D$1000,L99:L$1000,,0,1)))</f>
        <v>653.47030655981393</v>
      </c>
      <c r="O98" s="59" cm="1">
        <f t="array" ref="O98">IFERROR(IF(I98&lt;_xlfn.XLOOKUP(D98,D99:D$1000,I99:I$1000,,0,1),G98*H98-_xlfn.XLOOKUP(D98,D99:D$1000,N99:N$1000,,0,1)*-E98*MAX(1,M98/IFERROR(_xlfn.XLOOKUP(D98,D99:D$1000,L99:L$1000,,0,1),M98)),0),0)</f>
        <v>0</v>
      </c>
      <c r="P98" s="56" t="str" cm="1">
        <f t="array" ref="P98">IF(O98&lt;0,1,IF(E98&lt;0, _xlfn.LET(_xlpm.v_cant, ABS(E98), _xlpm.v_fecha, B98, _xlpm.v_ticker, D98, _xlpm.rango_f, B99:B$1000, _xlpm.rango_t, E99:E$1000, _xlpm.filtro, D99:D$1000=_xlpm.v_ticker, _xlpm.c_fechas, _xlfn._xlws.FILTER(_xlpm.rango_f, _xlpm.filtro*(_xlpm.rango_t&gt;0), _xlpm.v_fecha), _xlpm.c_cants, _xlfn._xlws.FILTER(_xlpm.rango_t, _xlpm.filtro*(_xlpm.rango_t&gt;0), 0), _xlpm.v_acums_pasadas, ABS(SUMIFS(E99:E$1000, D99:D$1000, _xlpm.v_ticker, E99:E$1000,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99" spans="1:16" x14ac:dyDescent="0.45">
      <c r="A99" s="3" t="s">
        <v>61</v>
      </c>
      <c r="B99" s="4">
        <f t="shared" si="1"/>
        <v>45966</v>
      </c>
      <c r="C99" s="3" t="s">
        <v>90</v>
      </c>
      <c r="D99" s="3" t="s">
        <v>181</v>
      </c>
      <c r="E99" s="3">
        <v>3.9002559999999999E-2</v>
      </c>
      <c r="F99" s="3">
        <v>639.18880000000001</v>
      </c>
      <c r="G99" s="3">
        <v>-24.99</v>
      </c>
      <c r="H99" s="5">
        <v>18.5947</v>
      </c>
      <c r="I99" s="8">
        <f>SUMIF(D99:D$1000,D99,E99:E$1000)</f>
        <v>3.9002559999999999E-2</v>
      </c>
      <c r="J99" s="9" cm="1">
        <f t="array" ref="J99">IF(I99&gt;IFERROR(_xlfn.XLOOKUP(D99,D100:D$1000,I100:I$1000,,0,1),0),(IFERROR(_xlfn.XLOOKUP(D99,D100:D$1000,J100:J$1000,,0,1),0)*IFERROR(_xlfn.XLOOKUP(D99,D100:D$1000,I100:I$1000,,0,1),0)-G99*H99)/I99,_xlfn.XLOOKUP(D99,D100:D$1000,J100:J$1000,,0,1))</f>
        <v>11914.129559700696</v>
      </c>
      <c r="K99" s="10" cm="1">
        <f t="array" ref="K99">IFERROR(IF(I99&lt;_xlfn.XLOOKUP(D99,D100:D$1000,I100:I$1000,,0,1),G99*H99-_xlfn.XLOOKUP(D99,D100:D$1000,J100:J$1000,,0,1)*-E99,0),0)</f>
        <v>0</v>
      </c>
      <c r="L99" s="56">
        <v>142.64500000000001</v>
      </c>
      <c r="M99" s="56">
        <v>141.708</v>
      </c>
      <c r="N99" s="59" cm="1">
        <f t="array" ref="N99">IF(I99&gt;_xlfn.XLOOKUP(D99,D100:D$1000,I100:I$1000,0,0,1),(_xlfn.XLOOKUP(D99,D100:D$1000,N100:N$1000,0,0,1)*MAX(1,L99/_xlfn.XLOOKUP(D99,D100:D$1000,L100:L$1000,L99,0,1))*_xlfn.XLOOKUP(D99,D100:D$1000,I100:I$1000,0,0,1)-G99*H99)/I99,_xlfn.XLOOKUP(D99,D100:D$1000,N100:N$1000,,0,1)*MAX(1,L99/_xlfn.XLOOKUP(D99,D100:D$1000,L100:L$1000,,0,1)))</f>
        <v>11914.129559700696</v>
      </c>
      <c r="O99" s="59" cm="1">
        <f t="array" ref="O99">IFERROR(IF(I99&lt;_xlfn.XLOOKUP(D99,D100:D$1000,I100:I$1000,,0,1),G99*H99-_xlfn.XLOOKUP(D99,D100:D$1000,N100:N$1000,,0,1)*-E99*MAX(1,M99/IFERROR(_xlfn.XLOOKUP(D99,D100:D$1000,L100:L$1000,,0,1),M99)),0),0)</f>
        <v>0</v>
      </c>
      <c r="P99" s="56" t="str" cm="1">
        <f t="array" ref="P99">IF(O99&lt;0,1,IF(E99&lt;0, _xlfn.LET(_xlpm.v_cant, ABS(E99), _xlpm.v_fecha, B99, _xlpm.v_ticker, D99, _xlpm.rango_f, B100:B$1000, _xlpm.rango_t, E100:E$1000, _xlpm.filtro, D100:D$1000=_xlpm.v_ticker, _xlpm.c_fechas, _xlfn._xlws.FILTER(_xlpm.rango_f, _xlpm.filtro*(_xlpm.rango_t&gt;0), _xlpm.v_fecha), _xlpm.c_cants, _xlfn._xlws.FILTER(_xlpm.rango_t, _xlpm.filtro*(_xlpm.rango_t&gt;0), 0), _xlpm.v_acums_pasadas, ABS(SUMIFS(E100:E$1000, D100:D$1000, _xlpm.v_ticker, E100:E$1000,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0" spans="1:16" x14ac:dyDescent="0.45">
      <c r="A100" s="3" t="s">
        <v>61</v>
      </c>
      <c r="B100" s="4">
        <f t="shared" si="1"/>
        <v>45966</v>
      </c>
      <c r="C100" s="3" t="s">
        <v>90</v>
      </c>
      <c r="D100" s="3" t="s">
        <v>195</v>
      </c>
      <c r="E100" s="3">
        <v>0.10664379</v>
      </c>
      <c r="F100" s="3">
        <v>93.488799999999998</v>
      </c>
      <c r="G100" s="3">
        <v>-9.99</v>
      </c>
      <c r="H100" s="5">
        <v>18.5947</v>
      </c>
      <c r="I100" s="8">
        <f>SUMIF(D100:D$1000,D100,E100:E$1000)</f>
        <v>0.37189606000000003</v>
      </c>
      <c r="J100" s="9" cm="1">
        <f t="array" ref="J100">IF(I100&gt;IFERROR(_xlfn.XLOOKUP(D100,D101:D$1000,I101:I$1000,,0,1),0),(IFERROR(_xlfn.XLOOKUP(D100,D101:D$1000,J101:J$1000,,0,1),0)*IFERROR(_xlfn.XLOOKUP(D100,D101:D$1000,I101:I$1000,,0,1),0)-G100*H100)/I100,_xlfn.XLOOKUP(D100,D101:D$1000,J101:J$1000,,0,1))</f>
        <v>1750.2401611891235</v>
      </c>
      <c r="K100" s="10" cm="1">
        <f t="array" ref="K100">IFERROR(IF(I100&lt;_xlfn.XLOOKUP(D100,D101:D$1000,I101:I$1000,,0,1),G100*H100-_xlfn.XLOOKUP(D100,D101:D$1000,J101:J$1000,,0,1)*-E100,0),0)</f>
        <v>0</v>
      </c>
      <c r="L100" s="56">
        <v>142.64500000000001</v>
      </c>
      <c r="M100" s="56">
        <v>141.708</v>
      </c>
      <c r="N100" s="59" cm="1">
        <f t="array" ref="N100">IF(I100&gt;_xlfn.XLOOKUP(D100,D101:D$1000,I101:I$1000,0,0,1),(_xlfn.XLOOKUP(D100,D101:D$1000,N101:N$1000,0,0,1)*MAX(1,L100/_xlfn.XLOOKUP(D100,D101:D$1000,L101:L$1000,L100,0,1))*_xlfn.XLOOKUP(D100,D101:D$1000,I101:I$1000,0,0,1)-G100*H100)/I100,_xlfn.XLOOKUP(D100,D101:D$1000,N101:N$1000,,0,1)*MAX(1,L100/_xlfn.XLOOKUP(D100,D101:D$1000,L101:L$1000,,0,1)))</f>
        <v>1750.2401611891235</v>
      </c>
      <c r="O100" s="59" cm="1">
        <f t="array" ref="O100">IFERROR(IF(I100&lt;_xlfn.XLOOKUP(D100,D101:D$1000,I101:I$1000,,0,1),G100*H100-_xlfn.XLOOKUP(D100,D101:D$1000,N101:N$1000,,0,1)*-E100*MAX(1,M100/IFERROR(_xlfn.XLOOKUP(D100,D101:D$1000,L101:L$1000,,0,1),M100)),0),0)</f>
        <v>0</v>
      </c>
      <c r="P100" s="56" t="str" cm="1">
        <f t="array" ref="P100">IF(O100&lt;0,1,IF(E100&lt;0, _xlfn.LET(_xlpm.v_cant, ABS(E100), _xlpm.v_fecha, B100, _xlpm.v_ticker, D100, _xlpm.rango_f, B101:B$1000, _xlpm.rango_t, E101:E$1000, _xlpm.filtro, D101:D$1000=_xlpm.v_ticker, _xlpm.c_fechas, _xlfn._xlws.FILTER(_xlpm.rango_f, _xlpm.filtro*(_xlpm.rango_t&gt;0), _xlpm.v_fecha), _xlpm.c_cants, _xlfn._xlws.FILTER(_xlpm.rango_t, _xlpm.filtro*(_xlpm.rango_t&gt;0), 0), _xlpm.v_acums_pasadas, ABS(SUMIFS(E101:E$1000, D101:D$1000, _xlpm.v_ticker, E101:E$1000,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1" spans="1:16" x14ac:dyDescent="0.45">
      <c r="A101" s="3" t="s">
        <v>60</v>
      </c>
      <c r="B101" s="4">
        <f t="shared" si="1"/>
        <v>45965</v>
      </c>
      <c r="C101" s="3" t="s">
        <v>90</v>
      </c>
      <c r="D101" s="3" t="s">
        <v>195</v>
      </c>
      <c r="E101" s="3">
        <v>0.26525227000000001</v>
      </c>
      <c r="F101" s="3">
        <v>93.986000000000004</v>
      </c>
      <c r="G101" s="3">
        <v>-24.99</v>
      </c>
      <c r="H101" s="5">
        <v>18.613299999999999</v>
      </c>
      <c r="I101" s="8">
        <f>SUMIF(D101:D$1000,D101,E101:E$1000)</f>
        <v>0.26525227000000001</v>
      </c>
      <c r="J101" s="9" cm="1">
        <f t="array" ref="J101">IF(I101&gt;IFERROR(_xlfn.XLOOKUP(D101,D102:D$1000,I102:I$1000,,0,1),0),(IFERROR(_xlfn.XLOOKUP(D101,D102:D$1000,J102:J$1000,,0,1),0)*IFERROR(_xlfn.XLOOKUP(D101,D102:D$1000,I102:I$1000,,0,1),0)-G101*H101)/I101,_xlfn.XLOOKUP(D101,D102:D$1000,J102:J$1000,,0,1))</f>
        <v>1753.5999484566141</v>
      </c>
      <c r="K101" s="10" cm="1">
        <f t="array" ref="K101">IFERROR(IF(I101&lt;_xlfn.XLOOKUP(D101,D102:D$1000,I102:I$1000,,0,1),G101*H101-_xlfn.XLOOKUP(D101,D102:D$1000,J102:J$1000,,0,1)*-E101,0),0)</f>
        <v>0</v>
      </c>
      <c r="L101" s="56">
        <v>142.64500000000001</v>
      </c>
      <c r="M101" s="56">
        <v>141.708</v>
      </c>
      <c r="N101" s="59" cm="1">
        <f t="array" ref="N101">IF(I101&gt;_xlfn.XLOOKUP(D101,D102:D$1000,I102:I$1000,0,0,1),(_xlfn.XLOOKUP(D101,D102:D$1000,N102:N$1000,0,0,1)*MAX(1,L101/_xlfn.XLOOKUP(D101,D102:D$1000,L102:L$1000,L101,0,1))*_xlfn.XLOOKUP(D101,D102:D$1000,I102:I$1000,0,0,1)-G101*H101)/I101,_xlfn.XLOOKUP(D101,D102:D$1000,N102:N$1000,,0,1)*MAX(1,L101/_xlfn.XLOOKUP(D101,D102:D$1000,L102:L$1000,,0,1)))</f>
        <v>1753.5999484566141</v>
      </c>
      <c r="O101" s="59" cm="1">
        <f t="array" ref="O101">IFERROR(IF(I101&lt;_xlfn.XLOOKUP(D101,D102:D$1000,I102:I$1000,,0,1),G101*H101-_xlfn.XLOOKUP(D101,D102:D$1000,N102:N$1000,,0,1)*-E101*MAX(1,M101/IFERROR(_xlfn.XLOOKUP(D101,D102:D$1000,L102:L$1000,,0,1),M101)),0),0)</f>
        <v>0</v>
      </c>
      <c r="P101" s="56" t="str" cm="1">
        <f t="array" ref="P101">IF(O101&lt;0,1,IF(E101&lt;0, _xlfn.LET(_xlpm.v_cant, ABS(E101), _xlpm.v_fecha, B101, _xlpm.v_ticker, D101, _xlpm.rango_f, B102:B$1000, _xlpm.rango_t, E102:E$1000, _xlpm.filtro, D102:D$1000=_xlpm.v_ticker, _xlpm.c_fechas, _xlfn._xlws.FILTER(_xlpm.rango_f, _xlpm.filtro*(_xlpm.rango_t&gt;0), _xlpm.v_fecha), _xlpm.c_cants, _xlfn._xlws.FILTER(_xlpm.rango_t, _xlpm.filtro*(_xlpm.rango_t&gt;0), 0), _xlpm.v_acums_pasadas, ABS(SUMIFS(E102:E$1000, D102:D$1000, _xlpm.v_ticker, E102:E$1000,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2" spans="1:16" x14ac:dyDescent="0.45">
      <c r="A102" s="3" t="s">
        <v>60</v>
      </c>
      <c r="B102" s="4">
        <f t="shared" si="1"/>
        <v>45965</v>
      </c>
      <c r="C102" s="3" t="s">
        <v>90</v>
      </c>
      <c r="D102" s="3" t="s">
        <v>136</v>
      </c>
      <c r="E102" s="3">
        <v>8.9691499999999993E-2</v>
      </c>
      <c r="F102" s="3">
        <v>111.1588</v>
      </c>
      <c r="G102" s="3">
        <v>-9.99</v>
      </c>
      <c r="H102" s="5">
        <v>18.613299999999999</v>
      </c>
      <c r="I102" s="8">
        <f>SUMIF(D102:D$1000,D102,E102:E$1000)</f>
        <v>0.67814124999999992</v>
      </c>
      <c r="J102" s="9" cm="1">
        <f t="array" ref="J102">IF(I102&gt;IFERROR(_xlfn.XLOOKUP(D102,D103:D$1000,I103:I$1000,,0,1),0),(IFERROR(_xlfn.XLOOKUP(D102,D103:D$1000,J103:J$1000,,0,1),0)*IFERROR(_xlfn.XLOOKUP(D102,D103:D$1000,I103:I$1000,,0,1),0)-G102*H102)/I102,_xlfn.XLOOKUP(D102,D103:D$1000,J103:J$1000,,0,1))</f>
        <v>1175.6802863710179</v>
      </c>
      <c r="K102" s="10" cm="1">
        <f t="array" ref="K102">IFERROR(IF(I102&lt;_xlfn.XLOOKUP(D102,D103:D$1000,I103:I$1000,,0,1),G102*H102-_xlfn.XLOOKUP(D102,D103:D$1000,J103:J$1000,,0,1)*-E102,0),0)</f>
        <v>0</v>
      </c>
      <c r="L102" s="56">
        <v>142.64500000000001</v>
      </c>
      <c r="M102" s="56">
        <v>141.708</v>
      </c>
      <c r="N102" s="59" cm="1">
        <f t="array" ref="N102">IF(I102&gt;_xlfn.XLOOKUP(D102,D103:D$1000,I103:I$1000,0,0,1),(_xlfn.XLOOKUP(D102,D103:D$1000,N103:N$1000,0,0,1)*MAX(1,L102/_xlfn.XLOOKUP(D102,D103:D$1000,L103:L$1000,L102,0,1))*_xlfn.XLOOKUP(D102,D103:D$1000,I103:I$1000,0,0,1)-G102*H102)/I102,_xlfn.XLOOKUP(D102,D103:D$1000,N103:N$1000,,0,1)*MAX(1,L102/_xlfn.XLOOKUP(D102,D103:D$1000,L103:L$1000,,0,1)))</f>
        <v>1195.2116964427116</v>
      </c>
      <c r="O102" s="59" cm="1">
        <f t="array" ref="O102">IFERROR(IF(I102&lt;_xlfn.XLOOKUP(D102,D103:D$1000,I103:I$1000,,0,1),G102*H102-_xlfn.XLOOKUP(D102,D103:D$1000,N103:N$1000,,0,1)*-E102*MAX(1,M102/IFERROR(_xlfn.XLOOKUP(D102,D103:D$1000,L103:L$1000,,0,1),M102)),0),0)</f>
        <v>0</v>
      </c>
      <c r="P102" s="56" t="str" cm="1">
        <f t="array" ref="P102">IF(O102&lt;0,1,IF(E102&lt;0, _xlfn.LET(_xlpm.v_cant, ABS(E102), _xlpm.v_fecha, B102, _xlpm.v_ticker, D102, _xlpm.rango_f, B103:B$1000, _xlpm.rango_t, E103:E$1000, _xlpm.filtro, D103:D$1000=_xlpm.v_ticker, _xlpm.c_fechas, _xlfn._xlws.FILTER(_xlpm.rango_f, _xlpm.filtro*(_xlpm.rango_t&gt;0), _xlpm.v_fecha), _xlpm.c_cants, _xlfn._xlws.FILTER(_xlpm.rango_t, _xlpm.filtro*(_xlpm.rango_t&gt;0), 0), _xlpm.v_acums_pasadas, ABS(SUMIFS(E103:E$1000, D103:D$1000, _xlpm.v_ticker, E103:E$1000,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3" spans="1:16" x14ac:dyDescent="0.45">
      <c r="A103" s="3" t="s">
        <v>60</v>
      </c>
      <c r="B103" s="4">
        <f t="shared" si="1"/>
        <v>45965</v>
      </c>
      <c r="C103" s="3" t="s">
        <v>90</v>
      </c>
      <c r="D103" s="3" t="s">
        <v>139</v>
      </c>
      <c r="E103" s="3">
        <v>4.5944949999999998E-2</v>
      </c>
      <c r="F103" s="3">
        <v>216.99879999999999</v>
      </c>
      <c r="G103" s="3">
        <v>-9.99</v>
      </c>
      <c r="H103" s="5">
        <v>18.613299999999999</v>
      </c>
      <c r="I103" s="8">
        <f>SUMIF(D103:D$1000,D103,E103:E$1000)</f>
        <v>0.25940719000000001</v>
      </c>
      <c r="J103" s="9" cm="1">
        <f t="array" ref="J103">IF(I103&gt;IFERROR(_xlfn.XLOOKUP(D103,D104:D$1000,I104:I$1000,,0,1),0),(IFERROR(_xlfn.XLOOKUP(D103,D104:D$1000,J104:J$1000,,0,1),0)*IFERROR(_xlfn.XLOOKUP(D103,D104:D$1000,I104:I$1000,,0,1),0)-G103*H103)/I103,_xlfn.XLOOKUP(D103,D104:D$1000,J104:J$1000,,0,1))</f>
        <v>2717.2404666192942</v>
      </c>
      <c r="K103" s="10" cm="1">
        <f t="array" ref="K103">IFERROR(IF(I103&lt;_xlfn.XLOOKUP(D103,D104:D$1000,I104:I$1000,,0,1),G103*H103-_xlfn.XLOOKUP(D103,D104:D$1000,J104:J$1000,,0,1)*-E103,0),0)</f>
        <v>0</v>
      </c>
      <c r="L103" s="56">
        <v>142.64500000000001</v>
      </c>
      <c r="M103" s="56">
        <v>141.708</v>
      </c>
      <c r="N103" s="59" cm="1">
        <f t="array" ref="N103">IF(I103&gt;_xlfn.XLOOKUP(D103,D104:D$1000,I104:I$1000,0,0,1),(_xlfn.XLOOKUP(D103,D104:D$1000,N104:N$1000,0,0,1)*MAX(1,L103/_xlfn.XLOOKUP(D103,D104:D$1000,L104:L$1000,L103,0,1))*_xlfn.XLOOKUP(D103,D104:D$1000,I104:I$1000,0,0,1)-G103*H103)/I103,_xlfn.XLOOKUP(D103,D104:D$1000,N104:N$1000,,0,1)*MAX(1,L103/_xlfn.XLOOKUP(D103,D104:D$1000,L104:L$1000,,0,1)))</f>
        <v>2760.5815938084752</v>
      </c>
      <c r="O103" s="59" cm="1">
        <f t="array" ref="O103">IFERROR(IF(I103&lt;_xlfn.XLOOKUP(D103,D104:D$1000,I104:I$1000,,0,1),G103*H103-_xlfn.XLOOKUP(D103,D104:D$1000,N104:N$1000,,0,1)*-E103*MAX(1,M103/IFERROR(_xlfn.XLOOKUP(D103,D104:D$1000,L104:L$1000,,0,1),M103)),0),0)</f>
        <v>0</v>
      </c>
      <c r="P103" s="56" t="str" cm="1">
        <f t="array" ref="P103">IF(O103&lt;0,1,IF(E103&lt;0, _xlfn.LET(_xlpm.v_cant, ABS(E103), _xlpm.v_fecha, B103, _xlpm.v_ticker, D103, _xlpm.rango_f, B104:B$1000, _xlpm.rango_t, E104:E$1000, _xlpm.filtro, D104:D$1000=_xlpm.v_ticker, _xlpm.c_fechas, _xlfn._xlws.FILTER(_xlpm.rango_f, _xlpm.filtro*(_xlpm.rango_t&gt;0), _xlpm.v_fecha), _xlpm.c_cants, _xlfn._xlws.FILTER(_xlpm.rango_t, _xlpm.filtro*(_xlpm.rango_t&gt;0), 0), _xlpm.v_acums_pasadas, ABS(SUMIFS(E104:E$1000, D104:D$1000, _xlpm.v_ticker, E104:E$1000,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4" spans="1:16" x14ac:dyDescent="0.45">
      <c r="A104" s="3" t="s">
        <v>60</v>
      </c>
      <c r="B104" s="4">
        <f t="shared" si="1"/>
        <v>45965</v>
      </c>
      <c r="C104" s="3" t="s">
        <v>90</v>
      </c>
      <c r="D104" s="3" t="s">
        <v>138</v>
      </c>
      <c r="E104" s="3">
        <v>9.0954699999999999E-2</v>
      </c>
      <c r="F104" s="3">
        <v>109.61499999999999</v>
      </c>
      <c r="G104" s="3">
        <v>-9.99</v>
      </c>
      <c r="H104" s="5">
        <v>18.613299999999999</v>
      </c>
      <c r="I104" s="8">
        <f>SUMIF(D104:D$1000,D104,E104:E$1000)</f>
        <v>0.39387527</v>
      </c>
      <c r="J104" s="9" cm="1">
        <f t="array" ref="J104">IF(I104&gt;IFERROR(_xlfn.XLOOKUP(D104,D105:D$1000,I105:I$1000,,0,1),0),(IFERROR(_xlfn.XLOOKUP(D104,D105:D$1000,J105:J$1000,,0,1),0)*IFERROR(_xlfn.XLOOKUP(D104,D105:D$1000,I105:I$1000,,0,1),0)-G104*H104)/I104,_xlfn.XLOOKUP(D104,D105:D$1000,J105:J$1000,,0,1))</f>
        <v>1789.5810366566045</v>
      </c>
      <c r="K104" s="10" cm="1">
        <f t="array" ref="K104">IFERROR(IF(I104&lt;_xlfn.XLOOKUP(D104,D105:D$1000,I105:I$1000,,0,1),G104*H104-_xlfn.XLOOKUP(D104,D105:D$1000,J105:J$1000,,0,1)*-E104,0),0)</f>
        <v>0</v>
      </c>
      <c r="L104" s="56">
        <v>142.64500000000001</v>
      </c>
      <c r="M104" s="56">
        <v>141.708</v>
      </c>
      <c r="N104" s="59" cm="1">
        <f t="array" ref="N104">IF(I104&gt;_xlfn.XLOOKUP(D104,D105:D$1000,I105:I$1000,0,0,1),(_xlfn.XLOOKUP(D104,D105:D$1000,N105:N$1000,0,0,1)*MAX(1,L104/_xlfn.XLOOKUP(D104,D105:D$1000,L105:L$1000,L104,0,1))*_xlfn.XLOOKUP(D104,D105:D$1000,I105:I$1000,0,0,1)-G104*H104)/I104,_xlfn.XLOOKUP(D104,D105:D$1000,N105:N$1000,,0,1)*MAX(1,L104/_xlfn.XLOOKUP(D104,D105:D$1000,L105:L$1000,,0,1)))</f>
        <v>1818.1256061483068</v>
      </c>
      <c r="O104" s="59" cm="1">
        <f t="array" ref="O104">IFERROR(IF(I104&lt;_xlfn.XLOOKUP(D104,D105:D$1000,I105:I$1000,,0,1),G104*H104-_xlfn.XLOOKUP(D104,D105:D$1000,N105:N$1000,,0,1)*-E104*MAX(1,M104/IFERROR(_xlfn.XLOOKUP(D104,D105:D$1000,L105:L$1000,,0,1),M104)),0),0)</f>
        <v>0</v>
      </c>
      <c r="P104" s="56" t="str" cm="1">
        <f t="array" ref="P104">IF(O104&lt;0,1,IF(E104&lt;0, _xlfn.LET(_xlpm.v_cant, ABS(E104), _xlpm.v_fecha, B104, _xlpm.v_ticker, D104, _xlpm.rango_f, B105:B$1000, _xlpm.rango_t, E105:E$1000, _xlpm.filtro, D105:D$1000=_xlpm.v_ticker, _xlpm.c_fechas, _xlfn._xlws.FILTER(_xlpm.rango_f, _xlpm.filtro*(_xlpm.rango_t&gt;0), _xlpm.v_fecha), _xlpm.c_cants, _xlfn._xlws.FILTER(_xlpm.rango_t, _xlpm.filtro*(_xlpm.rango_t&gt;0), 0), _xlpm.v_acums_pasadas, ABS(SUMIFS(E105:E$1000, D105:D$1000, _xlpm.v_ticker, E105:E$1000,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5" spans="1:16" x14ac:dyDescent="0.45">
      <c r="A105" s="3" t="s">
        <v>60</v>
      </c>
      <c r="B105" s="4">
        <f t="shared" si="1"/>
        <v>45965</v>
      </c>
      <c r="C105" s="3" t="s">
        <v>90</v>
      </c>
      <c r="D105" s="3" t="s">
        <v>176</v>
      </c>
      <c r="E105" s="3">
        <v>0.49700956000000002</v>
      </c>
      <c r="F105" s="3">
        <v>50.16</v>
      </c>
      <c r="G105" s="3">
        <v>-24.99</v>
      </c>
      <c r="H105" s="5">
        <v>18.613299999999999</v>
      </c>
      <c r="I105" s="8">
        <f>SUMIF(D105:D$1000,D105,E105:E$1000)</f>
        <v>0.49700956000000002</v>
      </c>
      <c r="J105" s="9" cm="1">
        <f t="array" ref="J105">IF(I105&gt;IFERROR(_xlfn.XLOOKUP(D105,D106:D$1000,I106:I$1000,,0,1),0),(IFERROR(_xlfn.XLOOKUP(D105,D106:D$1000,J106:J$1000,,0,1),0)*IFERROR(_xlfn.XLOOKUP(D105,D106:D$1000,I106:I$1000,,0,1),0)-G105*H105)/I105,_xlfn.XLOOKUP(D105,D106:D$1000,J106:J$1000,,0,1))</f>
        <v>935.89018086493127</v>
      </c>
      <c r="K105" s="10" cm="1">
        <f t="array" ref="K105">IFERROR(IF(I105&lt;_xlfn.XLOOKUP(D105,D106:D$1000,I106:I$1000,,0,1),G105*H105-_xlfn.XLOOKUP(D105,D106:D$1000,J106:J$1000,,0,1)*-E105,0),0)</f>
        <v>0</v>
      </c>
      <c r="L105" s="56">
        <v>142.64500000000001</v>
      </c>
      <c r="M105" s="56">
        <v>141.708</v>
      </c>
      <c r="N105" s="59" cm="1">
        <f t="array" ref="N105">IF(I105&gt;_xlfn.XLOOKUP(D105,D106:D$1000,I106:I$1000,0,0,1),(_xlfn.XLOOKUP(D105,D106:D$1000,N106:N$1000,0,0,1)*MAX(1,L105/_xlfn.XLOOKUP(D105,D106:D$1000,L106:L$1000,L105,0,1))*_xlfn.XLOOKUP(D105,D106:D$1000,I106:I$1000,0,0,1)-G105*H105)/I105,_xlfn.XLOOKUP(D105,D106:D$1000,N106:N$1000,,0,1)*MAX(1,L105/_xlfn.XLOOKUP(D105,D106:D$1000,L106:L$1000,,0,1)))</f>
        <v>935.89018086493127</v>
      </c>
      <c r="O105" s="59" cm="1">
        <f t="array" ref="O105">IFERROR(IF(I105&lt;_xlfn.XLOOKUP(D105,D106:D$1000,I106:I$1000,,0,1),G105*H105-_xlfn.XLOOKUP(D105,D106:D$1000,N106:N$1000,,0,1)*-E105*MAX(1,M105/IFERROR(_xlfn.XLOOKUP(D105,D106:D$1000,L106:L$1000,,0,1),M105)),0),0)</f>
        <v>0</v>
      </c>
      <c r="P105" s="56" t="str" cm="1">
        <f t="array" ref="P105">IF(O105&lt;0,1,IF(E105&lt;0, _xlfn.LET(_xlpm.v_cant, ABS(E105), _xlpm.v_fecha, B105, _xlpm.v_ticker, D105, _xlpm.rango_f, B106:B$1000, _xlpm.rango_t, E106:E$1000, _xlpm.filtro, D106:D$1000=_xlpm.v_ticker, _xlpm.c_fechas, _xlfn._xlws.FILTER(_xlpm.rango_f, _xlpm.filtro*(_xlpm.rango_t&gt;0), _xlpm.v_fecha), _xlpm.c_cants, _xlfn._xlws.FILTER(_xlpm.rango_t, _xlpm.filtro*(_xlpm.rango_t&gt;0), 0), _xlpm.v_acums_pasadas, ABS(SUMIFS(E106:E$1000, D106:D$1000, _xlpm.v_ticker, E106:E$1000,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6" spans="1:16" x14ac:dyDescent="0.45">
      <c r="A106" s="3" t="s">
        <v>60</v>
      </c>
      <c r="B106" s="4">
        <f t="shared" si="1"/>
        <v>45965</v>
      </c>
      <c r="C106" s="3" t="s">
        <v>90</v>
      </c>
      <c r="D106" s="3" t="s">
        <v>193</v>
      </c>
      <c r="E106" s="3">
        <v>5.2824320000000001E-2</v>
      </c>
      <c r="F106" s="3">
        <v>188.7388</v>
      </c>
      <c r="G106" s="3">
        <v>-9.99</v>
      </c>
      <c r="H106" s="5">
        <v>18.613299999999999</v>
      </c>
      <c r="I106" s="8">
        <f>SUMIF(D106:D$1000,D106,E106:E$1000)</f>
        <v>0.15065258000000001</v>
      </c>
      <c r="J106" s="9" cm="1">
        <f t="array" ref="J106">IF(I106&gt;IFERROR(_xlfn.XLOOKUP(D106,D107:D$1000,I107:I$1000,,0,1),0),(IFERROR(_xlfn.XLOOKUP(D106,D107:D$1000,J107:J$1000,,0,1),0)*IFERROR(_xlfn.XLOOKUP(D106,D107:D$1000,I107:I$1000,,0,1),0)-G106*H106)/I106,_xlfn.XLOOKUP(D106,D107:D$1000,J107:J$1000,,0,1))</f>
        <v>3686.840490883063</v>
      </c>
      <c r="K106" s="10" cm="1">
        <f t="array" ref="K106">IFERROR(IF(I106&lt;_xlfn.XLOOKUP(D106,D107:D$1000,I107:I$1000,,0,1),G106*H106-_xlfn.XLOOKUP(D106,D107:D$1000,J107:J$1000,,0,1)*-E106,0),0)</f>
        <v>0</v>
      </c>
      <c r="L106" s="56">
        <v>142.64500000000001</v>
      </c>
      <c r="M106" s="56">
        <v>141.708</v>
      </c>
      <c r="N106" s="59" cm="1">
        <f t="array" ref="N106">IF(I106&gt;_xlfn.XLOOKUP(D106,D107:D$1000,I107:I$1000,0,0,1),(_xlfn.XLOOKUP(D106,D107:D$1000,N107:N$1000,0,0,1)*MAX(1,L106/_xlfn.XLOOKUP(D106,D107:D$1000,L107:L$1000,L106,0,1))*_xlfn.XLOOKUP(D106,D107:D$1000,I107:I$1000,0,0,1)-G106*H106)/I106,_xlfn.XLOOKUP(D106,D107:D$1000,N107:N$1000,,0,1)*MAX(1,L106/_xlfn.XLOOKUP(D106,D107:D$1000,L107:L$1000,,0,1)))</f>
        <v>3686.840490883063</v>
      </c>
      <c r="O106" s="59" cm="1">
        <f t="array" ref="O106">IFERROR(IF(I106&lt;_xlfn.XLOOKUP(D106,D107:D$1000,I107:I$1000,,0,1),G106*H106-_xlfn.XLOOKUP(D106,D107:D$1000,N107:N$1000,,0,1)*-E106*MAX(1,M106/IFERROR(_xlfn.XLOOKUP(D106,D107:D$1000,L107:L$1000,,0,1),M106)),0),0)</f>
        <v>0</v>
      </c>
      <c r="P106" s="56" t="str" cm="1">
        <f t="array" ref="P106">IF(O106&lt;0,1,IF(E106&lt;0, _xlfn.LET(_xlpm.v_cant, ABS(E106), _xlpm.v_fecha, B106, _xlpm.v_ticker, D106, _xlpm.rango_f, B107:B$1000, _xlpm.rango_t, E107:E$1000, _xlpm.filtro, D107:D$1000=_xlpm.v_ticker, _xlpm.c_fechas, _xlfn._xlws.FILTER(_xlpm.rango_f, _xlpm.filtro*(_xlpm.rango_t&gt;0), _xlpm.v_fecha), _xlpm.c_cants, _xlfn._xlws.FILTER(_xlpm.rango_t, _xlpm.filtro*(_xlpm.rango_t&gt;0), 0), _xlpm.v_acums_pasadas, ABS(SUMIFS(E107:E$1000, D107:D$1000, _xlpm.v_ticker, E107:E$1000,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07" spans="1:16" x14ac:dyDescent="0.45">
      <c r="A107" s="3" t="s">
        <v>59</v>
      </c>
      <c r="B107" s="4">
        <f t="shared" si="1"/>
        <v>45964</v>
      </c>
      <c r="C107" s="3" t="s">
        <v>91</v>
      </c>
      <c r="D107" s="3" t="s">
        <v>192</v>
      </c>
      <c r="E107" s="3">
        <v>-8</v>
      </c>
      <c r="F107" s="3">
        <v>0.37</v>
      </c>
      <c r="G107" s="3">
        <v>2.96</v>
      </c>
      <c r="H107" s="5">
        <v>18.483499999999999</v>
      </c>
      <c r="I107" s="8">
        <f>SUMIF(D107:D$1000,D107,E107:E$1000)</f>
        <v>5.5511151231257827E-16</v>
      </c>
      <c r="J107" s="9" cm="1">
        <f t="array" ref="J107">IF(I107&gt;IFERROR(_xlfn.XLOOKUP(D107,D108:D$1000,I108:I$1000,,0,1),0),(IFERROR(_xlfn.XLOOKUP(D107,D108:D$1000,J108:J$1000,,0,1),0)*IFERROR(_xlfn.XLOOKUP(D107,D108:D$1000,I108:I$1000,,0,1),0)-G107*H107)/I107,_xlfn.XLOOKUP(D107,D108:D$1000,J108:J$1000,,0,1))</f>
        <v>113.62706211923539</v>
      </c>
      <c r="K107" s="10" cm="1">
        <f t="array" ref="K107">IFERROR(IF(I107&lt;_xlfn.XLOOKUP(D107,D108:D$1000,I108:I$1000,,0,1),G107*H107-_xlfn.XLOOKUP(D107,D108:D$1000,J108:J$1000,,0,1)*-E107,0),0)</f>
        <v>-854.30533695388317</v>
      </c>
      <c r="L107" s="56">
        <v>142.64500000000001</v>
      </c>
      <c r="M107" s="56">
        <v>141.708</v>
      </c>
      <c r="N107" s="59" cm="1">
        <f t="array" ref="N107">IF(I107&gt;_xlfn.XLOOKUP(D107,D108:D$1000,I108:I$1000,0,0,1),(_xlfn.XLOOKUP(D107,D108:D$1000,N108:N$1000,0,0,1)*MAX(1,L107/_xlfn.XLOOKUP(D107,D108:D$1000,L108:L$1000,L107,0,1))*_xlfn.XLOOKUP(D107,D108:D$1000,I108:I$1000,0,0,1)-G107*H107)/I107,_xlfn.XLOOKUP(D107,D108:D$1000,N108:N$1000,,0,1)*MAX(1,L107/_xlfn.XLOOKUP(D107,D108:D$1000,L108:L$1000,,0,1)))</f>
        <v>117.49510526352735</v>
      </c>
      <c r="O107" s="59" cm="1">
        <f t="array" ref="O107">IFERROR(IF(I107&lt;_xlfn.XLOOKUP(D107,D108:D$1000,I108:I$1000,,0,1),G107*H107-_xlfn.XLOOKUP(D107,D108:D$1000,N108:N$1000,,0,1)*-E107*MAX(1,M107/IFERROR(_xlfn.XLOOKUP(D107,D108:D$1000,L108:L$1000,,0,1),M107)),0),0)</f>
        <v>-885.24968210821885</v>
      </c>
      <c r="P107" s="56" cm="1">
        <f t="array" ref="P107">IF(O107&lt;0,1,IF(E107&lt;0, _xlfn.LET(_xlpm.v_cant, ABS(E107), _xlpm.v_fecha, B107, _xlpm.v_ticker, D107, _xlpm.rango_f, B108:B$1000, _xlpm.rango_t, E108:E$1000, _xlpm.filtro, D108:D$1000=_xlpm.v_ticker, _xlpm.c_fechas, _xlfn._xlws.FILTER(_xlpm.rango_f, _xlpm.filtro*(_xlpm.rango_t&gt;0), _xlpm.v_fecha), _xlpm.c_cants, _xlfn._xlws.FILTER(_xlpm.rango_t, _xlpm.filtro*(_xlpm.rango_t&gt;0), 0), _xlpm.v_acums_pasadas, ABS(SUMIFS(E108:E$1000, D108:D$1000, _xlpm.v_ticker, E108:E$1000,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08" spans="1:16" x14ac:dyDescent="0.45">
      <c r="A108" s="3" t="s">
        <v>59</v>
      </c>
      <c r="B108" s="4">
        <f t="shared" si="1"/>
        <v>45964</v>
      </c>
      <c r="C108" s="3" t="s">
        <v>91</v>
      </c>
      <c r="D108" s="3" t="s">
        <v>192</v>
      </c>
      <c r="E108" s="3">
        <v>-0.70397111000000001</v>
      </c>
      <c r="F108" s="3">
        <v>0.37</v>
      </c>
      <c r="G108" s="3">
        <v>0.26</v>
      </c>
      <c r="H108" s="5">
        <v>18.483499999999999</v>
      </c>
      <c r="I108" s="8">
        <f>SUMIF(D108:D$1000,D108,E108:E$1000)</f>
        <v>8</v>
      </c>
      <c r="J108" s="9" cm="1">
        <f t="array" ref="J108">IF(I108&gt;IFERROR(_xlfn.XLOOKUP(D108,D109:D$1000,I109:I$1000,,0,1),0),(IFERROR(_xlfn.XLOOKUP(D108,D109:D$1000,J109:J$1000,,0,1),0)*IFERROR(_xlfn.XLOOKUP(D108,D109:D$1000,I109:I$1000,,0,1),0)-G108*H108)/I108,_xlfn.XLOOKUP(D108,D109:D$1000,J109:J$1000,,0,1))</f>
        <v>113.62706211923539</v>
      </c>
      <c r="K108" s="10" cm="1">
        <f t="array" ref="K108">IFERROR(IF(I108&lt;_xlfn.XLOOKUP(D108,D109:D$1000,I109:I$1000,,0,1),G108*H108-_xlfn.XLOOKUP(D108,D109:D$1000,J109:J$1000,,0,1)*-E108,0),0)</f>
        <v>-75.184459046117084</v>
      </c>
      <c r="L108" s="56">
        <v>142.64500000000001</v>
      </c>
      <c r="M108" s="56">
        <v>141.708</v>
      </c>
      <c r="N108" s="59" cm="1">
        <f t="array" ref="N108">IF(I108&gt;_xlfn.XLOOKUP(D108,D109:D$1000,I109:I$1000,0,0,1),(_xlfn.XLOOKUP(D108,D109:D$1000,N109:N$1000,0,0,1)*MAX(1,L108/_xlfn.XLOOKUP(D108,D109:D$1000,L109:L$1000,L108,0,1))*_xlfn.XLOOKUP(D108,D109:D$1000,I109:I$1000,0,0,1)-G108*H108)/I108,_xlfn.XLOOKUP(D108,D109:D$1000,N109:N$1000,,0,1)*MAX(1,L108/_xlfn.XLOOKUP(D108,D109:D$1000,L109:L$1000,,0,1)))</f>
        <v>117.49510526352735</v>
      </c>
      <c r="O108" s="59" cm="1">
        <f t="array" ref="O108">IFERROR(IF(I108&lt;_xlfn.XLOOKUP(D108,D109:D$1000,I109:I$1000,,0,1),G108*H108-_xlfn.XLOOKUP(D108,D109:D$1000,N109:N$1000,,0,1)*-E108*MAX(1,M108/IFERROR(_xlfn.XLOOKUP(D108,D109:D$1000,L109:L$1000,,0,1),M108)),0),0)</f>
        <v>-77.364127223808495</v>
      </c>
      <c r="P108" s="56" cm="1">
        <f t="array" ref="P108">IF(O108&lt;0,1,IF(E108&lt;0, _xlfn.LET(_xlpm.v_cant, ABS(E108), _xlpm.v_fecha, B108, _xlpm.v_ticker, D108, _xlpm.rango_f, B109:B$1000, _xlpm.rango_t, E109:E$1000, _xlpm.filtro, D109:D$1000=_xlpm.v_ticker, _xlpm.c_fechas, _xlfn._xlws.FILTER(_xlpm.rango_f, _xlpm.filtro*(_xlpm.rango_t&gt;0), _xlpm.v_fecha), _xlpm.c_cants, _xlfn._xlws.FILTER(_xlpm.rango_t, _xlpm.filtro*(_xlpm.rango_t&gt;0), 0), _xlpm.v_acums_pasadas, ABS(SUMIFS(E109:E$1000, D109:D$1000, _xlpm.v_ticker, E109:E$1000,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09" spans="1:16" x14ac:dyDescent="0.45">
      <c r="A109" s="3" t="s">
        <v>59</v>
      </c>
      <c r="B109" s="4">
        <f t="shared" si="1"/>
        <v>45964</v>
      </c>
      <c r="C109" s="3" t="s">
        <v>90</v>
      </c>
      <c r="D109" s="3" t="s">
        <v>193</v>
      </c>
      <c r="E109" s="3">
        <v>9.782826E-2</v>
      </c>
      <c r="F109" s="3">
        <v>203.9288</v>
      </c>
      <c r="G109" s="3">
        <v>-19.989999999999998</v>
      </c>
      <c r="H109" s="5">
        <v>18.483499999999999</v>
      </c>
      <c r="I109" s="8">
        <f>SUMIF(D109:D$1000,D109,E109:E$1000)</f>
        <v>9.782826E-2</v>
      </c>
      <c r="J109" s="9" cm="1">
        <f t="array" ref="J109">IF(I109&gt;IFERROR(_xlfn.XLOOKUP(D109,D110:D$1000,I110:I$1000,,0,1),0),(IFERROR(_xlfn.XLOOKUP(D109,D110:D$1000,J110:J$1000,,0,1),0)*IFERROR(_xlfn.XLOOKUP(D109,D110:D$1000,I110:I$1000,,0,1),0)-G109*H109)/I109,_xlfn.XLOOKUP(D109,D110:D$1000,J110:J$1000,,0,1))</f>
        <v>3776.8755674485055</v>
      </c>
      <c r="K109" s="10" cm="1">
        <f t="array" ref="K109">IFERROR(IF(I109&lt;_xlfn.XLOOKUP(D109,D110:D$1000,I110:I$1000,,0,1),G109*H109-_xlfn.XLOOKUP(D109,D110:D$1000,J110:J$1000,,0,1)*-E109,0),0)</f>
        <v>0</v>
      </c>
      <c r="L109" s="56">
        <v>142.64500000000001</v>
      </c>
      <c r="M109" s="56">
        <v>141.708</v>
      </c>
      <c r="N109" s="59" cm="1">
        <f t="array" ref="N109">IF(I109&gt;_xlfn.XLOOKUP(D109,D110:D$1000,I110:I$1000,0,0,1),(_xlfn.XLOOKUP(D109,D110:D$1000,N110:N$1000,0,0,1)*MAX(1,L109/_xlfn.XLOOKUP(D109,D110:D$1000,L110:L$1000,L109,0,1))*_xlfn.XLOOKUP(D109,D110:D$1000,I110:I$1000,0,0,1)-G109*H109)/I109,_xlfn.XLOOKUP(D109,D110:D$1000,N110:N$1000,,0,1)*MAX(1,L109/_xlfn.XLOOKUP(D109,D110:D$1000,L110:L$1000,,0,1)))</f>
        <v>3776.8755674485055</v>
      </c>
      <c r="O109" s="59" cm="1">
        <f t="array" ref="O109">IFERROR(IF(I109&lt;_xlfn.XLOOKUP(D109,D110:D$1000,I110:I$1000,,0,1),G109*H109-_xlfn.XLOOKUP(D109,D110:D$1000,N110:N$1000,,0,1)*-E109*MAX(1,M109/IFERROR(_xlfn.XLOOKUP(D109,D110:D$1000,L110:L$1000,,0,1),M109)),0),0)</f>
        <v>0</v>
      </c>
      <c r="P109" s="56" t="str" cm="1">
        <f t="array" ref="P109">IF(O109&lt;0,1,IF(E109&lt;0, _xlfn.LET(_xlpm.v_cant, ABS(E109), _xlpm.v_fecha, B109, _xlpm.v_ticker, D109, _xlpm.rango_f, B110:B$1000, _xlpm.rango_t, E110:E$1000, _xlpm.filtro, D110:D$1000=_xlpm.v_ticker, _xlpm.c_fechas, _xlfn._xlws.FILTER(_xlpm.rango_f, _xlpm.filtro*(_xlpm.rango_t&gt;0), _xlpm.v_fecha), _xlpm.c_cants, _xlfn._xlws.FILTER(_xlpm.rango_t, _xlpm.filtro*(_xlpm.rango_t&gt;0), 0), _xlpm.v_acums_pasadas, ABS(SUMIFS(E110:E$1000, D110:D$1000, _xlpm.v_ticker, E110:E$1000,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0" spans="1:16" x14ac:dyDescent="0.45">
      <c r="A110" s="3" t="s">
        <v>59</v>
      </c>
      <c r="B110" s="4">
        <f t="shared" si="1"/>
        <v>45964</v>
      </c>
      <c r="C110" s="3" t="s">
        <v>90</v>
      </c>
      <c r="D110" s="3" t="s">
        <v>167</v>
      </c>
      <c r="E110" s="3">
        <v>0.81209443999999997</v>
      </c>
      <c r="F110" s="3">
        <v>30.698399999999999</v>
      </c>
      <c r="G110" s="3">
        <v>-24.99</v>
      </c>
      <c r="H110" s="5">
        <v>18.483499999999999</v>
      </c>
      <c r="I110" s="8">
        <f>SUMIF(D110:D$1000,D110,E110:E$1000)</f>
        <v>0.81209443999999997</v>
      </c>
      <c r="J110" s="9" cm="1">
        <f t="array" ref="J110">IF(I110&gt;IFERROR(_xlfn.XLOOKUP(D110,D111:D$1000,I111:I$1000,,0,1),0),(IFERROR(_xlfn.XLOOKUP(D110,D111:D$1000,J111:J$1000,,0,1),0)*IFERROR(_xlfn.XLOOKUP(D110,D111:D$1000,I111:I$1000,,0,1),0)-G110*H110)/I110,_xlfn.XLOOKUP(D110,D111:D$1000,J111:J$1000,,0,1))</f>
        <v>568.77949441446731</v>
      </c>
      <c r="K110" s="10" cm="1">
        <f t="array" ref="K110">IFERROR(IF(I110&lt;_xlfn.XLOOKUP(D110,D111:D$1000,I111:I$1000,,0,1),G110*H110-_xlfn.XLOOKUP(D110,D111:D$1000,J111:J$1000,,0,1)*-E110,0),0)</f>
        <v>0</v>
      </c>
      <c r="L110" s="56">
        <v>142.64500000000001</v>
      </c>
      <c r="M110" s="56">
        <v>141.708</v>
      </c>
      <c r="N110" s="59" cm="1">
        <f t="array" ref="N110">IF(I110&gt;_xlfn.XLOOKUP(D110,D111:D$1000,I111:I$1000,0,0,1),(_xlfn.XLOOKUP(D110,D111:D$1000,N111:N$1000,0,0,1)*MAX(1,L110/_xlfn.XLOOKUP(D110,D111:D$1000,L111:L$1000,L110,0,1))*_xlfn.XLOOKUP(D110,D111:D$1000,I111:I$1000,0,0,1)-G110*H110)/I110,_xlfn.XLOOKUP(D110,D111:D$1000,N111:N$1000,,0,1)*MAX(1,L110/_xlfn.XLOOKUP(D110,D111:D$1000,L111:L$1000,,0,1)))</f>
        <v>568.77949441446731</v>
      </c>
      <c r="O110" s="59" cm="1">
        <f t="array" ref="O110">IFERROR(IF(I110&lt;_xlfn.XLOOKUP(D110,D111:D$1000,I111:I$1000,,0,1),G110*H110-_xlfn.XLOOKUP(D110,D111:D$1000,N111:N$1000,,0,1)*-E110*MAX(1,M110/IFERROR(_xlfn.XLOOKUP(D110,D111:D$1000,L111:L$1000,,0,1),M110)),0),0)</f>
        <v>0</v>
      </c>
      <c r="P110" s="56" t="str" cm="1">
        <f t="array" ref="P110">IF(O110&lt;0,1,IF(E110&lt;0, _xlfn.LET(_xlpm.v_cant, ABS(E110), _xlpm.v_fecha, B110, _xlpm.v_ticker, D110, _xlpm.rango_f, B111:B$1000, _xlpm.rango_t, E111:E$1000, _xlpm.filtro, D111:D$1000=_xlpm.v_ticker, _xlpm.c_fechas, _xlfn._xlws.FILTER(_xlpm.rango_f, _xlpm.filtro*(_xlpm.rango_t&gt;0), _xlpm.v_fecha), _xlpm.c_cants, _xlfn._xlws.FILTER(_xlpm.rango_t, _xlpm.filtro*(_xlpm.rango_t&gt;0), 0), _xlpm.v_acums_pasadas, ABS(SUMIFS(E111:E$1000, D111:D$1000, _xlpm.v_ticker, E111:E$1000,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1" spans="1:16" x14ac:dyDescent="0.45">
      <c r="A111" s="3" t="s">
        <v>59</v>
      </c>
      <c r="B111" s="4">
        <f t="shared" si="1"/>
        <v>45964</v>
      </c>
      <c r="C111" s="3" t="s">
        <v>90</v>
      </c>
      <c r="D111" s="3" t="s">
        <v>194</v>
      </c>
      <c r="E111" s="3">
        <v>0.51045479999999999</v>
      </c>
      <c r="F111" s="3">
        <v>48.838799999999999</v>
      </c>
      <c r="G111" s="3">
        <v>-24.99</v>
      </c>
      <c r="H111" s="5">
        <v>18.483499999999999</v>
      </c>
      <c r="I111" s="8">
        <f>SUMIF(D111:D$1000,D111,E111:E$1000)</f>
        <v>0.51045479999999999</v>
      </c>
      <c r="J111" s="9" cm="1">
        <f t="array" ref="J111">IF(I111&gt;IFERROR(_xlfn.XLOOKUP(D111,D112:D$1000,I112:I$1000,,0,1),0),(IFERROR(_xlfn.XLOOKUP(D111,D112:D$1000,J112:J$1000,,0,1),0)*IFERROR(_xlfn.XLOOKUP(D111,D112:D$1000,I112:I$1000,,0,1),0)-G111*H111)/I111,_xlfn.XLOOKUP(D111,D112:D$1000,J112:J$1000,,0,1))</f>
        <v>904.88455589015905</v>
      </c>
      <c r="K111" s="10" cm="1">
        <f t="array" ref="K111">IFERROR(IF(I111&lt;_xlfn.XLOOKUP(D111,D112:D$1000,I112:I$1000,,0,1),G111*H111-_xlfn.XLOOKUP(D111,D112:D$1000,J112:J$1000,,0,1)*-E111,0),0)</f>
        <v>0</v>
      </c>
      <c r="L111" s="56">
        <v>142.64500000000001</v>
      </c>
      <c r="M111" s="56">
        <v>141.708</v>
      </c>
      <c r="N111" s="59" cm="1">
        <f t="array" ref="N111">IF(I111&gt;_xlfn.XLOOKUP(D111,D112:D$1000,I112:I$1000,0,0,1),(_xlfn.XLOOKUP(D111,D112:D$1000,N112:N$1000,0,0,1)*MAX(1,L111/_xlfn.XLOOKUP(D111,D112:D$1000,L112:L$1000,L111,0,1))*_xlfn.XLOOKUP(D111,D112:D$1000,I112:I$1000,0,0,1)-G111*H111)/I111,_xlfn.XLOOKUP(D111,D112:D$1000,N112:N$1000,,0,1)*MAX(1,L111/_xlfn.XLOOKUP(D111,D112:D$1000,L112:L$1000,,0,1)))</f>
        <v>904.88455589015905</v>
      </c>
      <c r="O111" s="59" cm="1">
        <f t="array" ref="O111">IFERROR(IF(I111&lt;_xlfn.XLOOKUP(D111,D112:D$1000,I112:I$1000,,0,1),G111*H111-_xlfn.XLOOKUP(D111,D112:D$1000,N112:N$1000,,0,1)*-E111*MAX(1,M111/IFERROR(_xlfn.XLOOKUP(D111,D112:D$1000,L112:L$1000,,0,1),M111)),0),0)</f>
        <v>0</v>
      </c>
      <c r="P111" s="56" t="str" cm="1">
        <f t="array" ref="P111">IF(O111&lt;0,1,IF(E111&lt;0, _xlfn.LET(_xlpm.v_cant, ABS(E111), _xlpm.v_fecha, B111, _xlpm.v_ticker, D111, _xlpm.rango_f, B112:B$1000, _xlpm.rango_t, E112:E$1000, _xlpm.filtro, D112:D$1000=_xlpm.v_ticker, _xlpm.c_fechas, _xlfn._xlws.FILTER(_xlpm.rango_f, _xlpm.filtro*(_xlpm.rango_t&gt;0), _xlpm.v_fecha), _xlpm.c_cants, _xlfn._xlws.FILTER(_xlpm.rango_t, _xlpm.filtro*(_xlpm.rango_t&gt;0), 0), _xlpm.v_acums_pasadas, ABS(SUMIFS(E112:E$1000, D112:D$1000, _xlpm.v_ticker, E112:E$1000,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2" spans="1:16" x14ac:dyDescent="0.45">
      <c r="A112" s="3" t="s">
        <v>71</v>
      </c>
      <c r="B112" s="4">
        <f t="shared" si="1"/>
        <v>45951</v>
      </c>
      <c r="C112" s="3" t="s">
        <v>90</v>
      </c>
      <c r="D112" s="3" t="s">
        <v>149</v>
      </c>
      <c r="E112" s="3">
        <v>0.34343782</v>
      </c>
      <c r="F112" s="3">
        <v>29.03</v>
      </c>
      <c r="G112" s="3">
        <v>-9.99</v>
      </c>
      <c r="H112" s="5">
        <v>18.4252</v>
      </c>
      <c r="I112" s="8">
        <f>SUMIF(D112:D$1000,D112,E112:E$1000)</f>
        <v>1.4437037500000001</v>
      </c>
      <c r="J112" s="9" cm="1">
        <f t="array" ref="J112">IF(I112&gt;IFERROR(_xlfn.XLOOKUP(D112,D113:D$1000,I113:I$1000,,0,1),0),(IFERROR(_xlfn.XLOOKUP(D112,D113:D$1000,J113:J$1000,,0,1),0)*IFERROR(_xlfn.XLOOKUP(D112,D113:D$1000,I113:I$1000,,0,1),0)-G112*H112)/I112,_xlfn.XLOOKUP(D112,D113:D$1000,J113:J$1000,,0,1))</f>
        <v>325.21227987390068</v>
      </c>
      <c r="K112" s="10" cm="1">
        <f t="array" ref="K112">IFERROR(IF(I112&lt;_xlfn.XLOOKUP(D112,D113:D$1000,I113:I$1000,,0,1),G112*H112-_xlfn.XLOOKUP(D112,D113:D$1000,J113:J$1000,,0,1)*-E112,0),0)</f>
        <v>0</v>
      </c>
      <c r="L112" s="56">
        <v>141.708</v>
      </c>
      <c r="M112" s="56">
        <v>141.197</v>
      </c>
      <c r="N112" s="59" cm="1">
        <f t="array" ref="N112">IF(I112&gt;_xlfn.XLOOKUP(D112,D113:D$1000,I113:I$1000,0,0,1),(_xlfn.XLOOKUP(D112,D113:D$1000,N113:N$1000,0,0,1)*MAX(1,L112/_xlfn.XLOOKUP(D112,D113:D$1000,L113:L$1000,L112,0,1))*_xlfn.XLOOKUP(D112,D113:D$1000,I113:I$1000,0,0,1)-G112*H112)/I112,_xlfn.XLOOKUP(D112,D113:D$1000,N113:N$1000,,0,1)*MAX(1,L112/_xlfn.XLOOKUP(D112,D113:D$1000,L113:L$1000,,0,1)))</f>
        <v>326.3926744104412</v>
      </c>
      <c r="O112" s="59" cm="1">
        <f t="array" ref="O112">IFERROR(IF(I112&lt;_xlfn.XLOOKUP(D112,D113:D$1000,I113:I$1000,,0,1),G112*H112-_xlfn.XLOOKUP(D112,D113:D$1000,N113:N$1000,,0,1)*-E112*MAX(1,M112/IFERROR(_xlfn.XLOOKUP(D112,D113:D$1000,L113:L$1000,,0,1),M112)),0),0)</f>
        <v>0</v>
      </c>
      <c r="P112" s="56" t="str" cm="1">
        <f t="array" ref="P112">IF(O112&lt;0,1,IF(E112&lt;0, _xlfn.LET(_xlpm.v_cant, ABS(E112), _xlpm.v_fecha, B112, _xlpm.v_ticker, D112, _xlpm.rango_f, B113:B$1000, _xlpm.rango_t, E113:E$1000, _xlpm.filtro, D113:D$1000=_xlpm.v_ticker, _xlpm.c_fechas, _xlfn._xlws.FILTER(_xlpm.rango_f, _xlpm.filtro*(_xlpm.rango_t&gt;0), _xlpm.v_fecha), _xlpm.c_cants, _xlfn._xlws.FILTER(_xlpm.rango_t, _xlpm.filtro*(_xlpm.rango_t&gt;0), 0), _xlpm.v_acums_pasadas, ABS(SUMIFS(E113:E$1000, D113:D$1000, _xlpm.v_ticker, E113:E$1000,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3" spans="1:16" x14ac:dyDescent="0.45">
      <c r="A113" s="3" t="s">
        <v>71</v>
      </c>
      <c r="B113" s="4">
        <f t="shared" si="1"/>
        <v>45951</v>
      </c>
      <c r="C113" s="3" t="s">
        <v>90</v>
      </c>
      <c r="D113" s="3" t="s">
        <v>97</v>
      </c>
      <c r="E113" s="3">
        <v>0.24206855999999999</v>
      </c>
      <c r="F113" s="3">
        <v>49.448799999999999</v>
      </c>
      <c r="G113" s="3">
        <v>-11.99</v>
      </c>
      <c r="H113" s="5">
        <v>18.4252</v>
      </c>
      <c r="I113" s="8">
        <f>SUMIF(D113:D$1000,D113,E113:E$1000)</f>
        <v>12.075087269999999</v>
      </c>
      <c r="J113" s="9" cm="1">
        <f t="array" ref="J113">IF(I113&gt;IFERROR(_xlfn.XLOOKUP(D113,D114:D$1000,I114:I$1000,,0,1),0),(IFERROR(_xlfn.XLOOKUP(D113,D114:D$1000,J114:J$1000,,0,1),0)*IFERROR(_xlfn.XLOOKUP(D113,D114:D$1000,I114:I$1000,,0,1),0)-G113*H113)/I113,_xlfn.XLOOKUP(D113,D114:D$1000,J114:J$1000,,0,1))</f>
        <v>260.80607261346097</v>
      </c>
      <c r="K113" s="10" cm="1">
        <f t="array" ref="K113">IFERROR(IF(I113&lt;_xlfn.XLOOKUP(D113,D114:D$1000,I114:I$1000,,0,1),G113*H113-_xlfn.XLOOKUP(D113,D114:D$1000,J114:J$1000,,0,1)*-E113,0),0)</f>
        <v>0</v>
      </c>
      <c r="L113" s="56">
        <v>141.708</v>
      </c>
      <c r="M113" s="56">
        <v>141.197</v>
      </c>
      <c r="N113" s="59" cm="1">
        <f t="array" ref="N113">IF(I113&gt;_xlfn.XLOOKUP(D113,D114:D$1000,I114:I$1000,0,0,1),(_xlfn.XLOOKUP(D113,D114:D$1000,N114:N$1000,0,0,1)*MAX(1,L113/_xlfn.XLOOKUP(D113,D114:D$1000,L114:L$1000,L113,0,1))*_xlfn.XLOOKUP(D113,D114:D$1000,I114:I$1000,0,0,1)-G113*H113)/I113,_xlfn.XLOOKUP(D113,D114:D$1000,N114:N$1000,,0,1)*MAX(1,L113/_xlfn.XLOOKUP(D113,D114:D$1000,L114:L$1000,,0,1)))</f>
        <v>267.74489634899697</v>
      </c>
      <c r="O113" s="59" cm="1">
        <f t="array" ref="O113">IFERROR(IF(I113&lt;_xlfn.XLOOKUP(D113,D114:D$1000,I114:I$1000,,0,1),G113*H113-_xlfn.XLOOKUP(D113,D114:D$1000,N114:N$1000,,0,1)*-E113*MAX(1,M113/IFERROR(_xlfn.XLOOKUP(D113,D114:D$1000,L114:L$1000,,0,1),M113)),0),0)</f>
        <v>0</v>
      </c>
      <c r="P113" s="56" t="str" cm="1">
        <f t="array" ref="P113">IF(O113&lt;0,1,IF(E113&lt;0, _xlfn.LET(_xlpm.v_cant, ABS(E113), _xlpm.v_fecha, B113, _xlpm.v_ticker, D113, _xlpm.rango_f, B114:B$1000, _xlpm.rango_t, E114:E$1000, _xlpm.filtro, D114:D$1000=_xlpm.v_ticker, _xlpm.c_fechas, _xlfn._xlws.FILTER(_xlpm.rango_f, _xlpm.filtro*(_xlpm.rango_t&gt;0), _xlpm.v_fecha), _xlpm.c_cants, _xlfn._xlws.FILTER(_xlpm.rango_t, _xlpm.filtro*(_xlpm.rango_t&gt;0), 0), _xlpm.v_acums_pasadas, ABS(SUMIFS(E114:E$1000, D114:D$1000, _xlpm.v_ticker, E114:E$1000,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4" spans="1:16" x14ac:dyDescent="0.45">
      <c r="A114" s="3" t="s">
        <v>71</v>
      </c>
      <c r="B114" s="4">
        <f t="shared" si="1"/>
        <v>45951</v>
      </c>
      <c r="C114" s="3" t="s">
        <v>90</v>
      </c>
      <c r="D114" s="3" t="s">
        <v>159</v>
      </c>
      <c r="E114" s="3">
        <v>0.49489556000000001</v>
      </c>
      <c r="F114" s="3">
        <v>30.2286</v>
      </c>
      <c r="G114" s="3">
        <v>-14.99</v>
      </c>
      <c r="H114" s="5">
        <v>18.4252</v>
      </c>
      <c r="I114" s="8">
        <f>SUMIF(D114:D$1000,D114,E114:E$1000)</f>
        <v>1.2337882800000002</v>
      </c>
      <c r="J114" s="9" cm="1">
        <f t="array" ref="J114">IF(I114&gt;IFERROR(_xlfn.XLOOKUP(D114,D115:D$1000,I115:I$1000,,0,1),0),(IFERROR(_xlfn.XLOOKUP(D114,D115:D$1000,J115:J$1000,,0,1),0)*IFERROR(_xlfn.XLOOKUP(D114,D115:D$1000,I115:I$1000,,0,1),0)-G114*H114)/I114,_xlfn.XLOOKUP(D114,D115:D$1000,J115:J$1000,,0,1))</f>
        <v>600.85473173727985</v>
      </c>
      <c r="K114" s="10" cm="1">
        <f t="array" ref="K114">IFERROR(IF(I114&lt;_xlfn.XLOOKUP(D114,D115:D$1000,I115:I$1000,,0,1),G114*H114-_xlfn.XLOOKUP(D114,D115:D$1000,J115:J$1000,,0,1)*-E114,0),0)</f>
        <v>0</v>
      </c>
      <c r="L114" s="56">
        <v>141.708</v>
      </c>
      <c r="M114" s="56">
        <v>141.197</v>
      </c>
      <c r="N114" s="59" cm="1">
        <f t="array" ref="N114">IF(I114&gt;_xlfn.XLOOKUP(D114,D115:D$1000,I115:I$1000,0,0,1),(_xlfn.XLOOKUP(D114,D115:D$1000,N115:N$1000,0,0,1)*MAX(1,L114/_xlfn.XLOOKUP(D114,D115:D$1000,L115:L$1000,L114,0,1))*_xlfn.XLOOKUP(D114,D115:D$1000,I115:I$1000,0,0,1)-G114*H114)/I114,_xlfn.XLOOKUP(D114,D115:D$1000,N115:N$1000,,0,1)*MAX(1,L114/_xlfn.XLOOKUP(D114,D115:D$1000,L115:L$1000,,0,1)))</f>
        <v>602.2164723232288</v>
      </c>
      <c r="O114" s="59" cm="1">
        <f t="array" ref="O114">IFERROR(IF(I114&lt;_xlfn.XLOOKUP(D114,D115:D$1000,I115:I$1000,,0,1),G114*H114-_xlfn.XLOOKUP(D114,D115:D$1000,N115:N$1000,,0,1)*-E114*MAX(1,M114/IFERROR(_xlfn.XLOOKUP(D114,D115:D$1000,L115:L$1000,,0,1),M114)),0),0)</f>
        <v>0</v>
      </c>
      <c r="P114" s="56" t="str" cm="1">
        <f t="array" ref="P114">IF(O114&lt;0,1,IF(E114&lt;0, _xlfn.LET(_xlpm.v_cant, ABS(E114), _xlpm.v_fecha, B114, _xlpm.v_ticker, D114, _xlpm.rango_f, B115:B$1000, _xlpm.rango_t, E115:E$1000, _xlpm.filtro, D115:D$1000=_xlpm.v_ticker, _xlpm.c_fechas, _xlfn._xlws.FILTER(_xlpm.rango_f, _xlpm.filtro*(_xlpm.rango_t&gt;0), _xlpm.v_fecha), _xlpm.c_cants, _xlfn._xlws.FILTER(_xlpm.rango_t, _xlpm.filtro*(_xlpm.rango_t&gt;0), 0), _xlpm.v_acums_pasadas, ABS(SUMIFS(E115:E$1000, D115:D$1000, _xlpm.v_ticker, E115:E$1000,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5" spans="1:16" x14ac:dyDescent="0.45">
      <c r="A115" s="3" t="s">
        <v>70</v>
      </c>
      <c r="B115" s="4">
        <f t="shared" si="1"/>
        <v>45944</v>
      </c>
      <c r="C115" s="3" t="s">
        <v>90</v>
      </c>
      <c r="D115" s="3" t="s">
        <v>124</v>
      </c>
      <c r="E115" s="3">
        <v>1</v>
      </c>
      <c r="F115" s="3">
        <v>13.178800000000001</v>
      </c>
      <c r="G115" s="3">
        <v>-13.18</v>
      </c>
      <c r="H115" s="5">
        <v>18.521999999999998</v>
      </c>
      <c r="I115" s="8">
        <f>SUMIF(D115:D$1000,D115,E115:E$1000)</f>
        <v>6.5630739500000006</v>
      </c>
      <c r="J115" s="9" cm="1">
        <f t="array" ref="J115">IF(I115&gt;IFERROR(_xlfn.XLOOKUP(D115,D116:D$1000,I116:I$1000,,0,1),0),(IFERROR(_xlfn.XLOOKUP(D115,D116:D$1000,J116:J$1000,,0,1),0)*IFERROR(_xlfn.XLOOKUP(D115,D116:D$1000,I116:I$1000,,0,1),0)-G115*H115)/I115,_xlfn.XLOOKUP(D115,D116:D$1000,J116:J$1000,,0,1))</f>
        <v>104.03916497497437</v>
      </c>
      <c r="K115" s="10" cm="1">
        <f t="array" ref="K115">IFERROR(IF(I115&lt;_xlfn.XLOOKUP(D115,D116:D$1000,I116:I$1000,,0,1),G115*H115-_xlfn.XLOOKUP(D115,D116:D$1000,J116:J$1000,,0,1)*-E115,0),0)</f>
        <v>0</v>
      </c>
      <c r="L115" s="56">
        <v>141.708</v>
      </c>
      <c r="M115" s="56">
        <v>141.197</v>
      </c>
      <c r="N115" s="59" cm="1">
        <f t="array" ref="N115">IF(I115&gt;_xlfn.XLOOKUP(D115,D116:D$1000,I116:I$1000,0,0,1),(_xlfn.XLOOKUP(D115,D116:D$1000,N116:N$1000,0,0,1)*MAX(1,L115/_xlfn.XLOOKUP(D115,D116:D$1000,L116:L$1000,L115,0,1))*_xlfn.XLOOKUP(D115,D116:D$1000,I116:I$1000,0,0,1)-G115*H115)/I115,_xlfn.XLOOKUP(D115,D116:D$1000,N116:N$1000,,0,1)*MAX(1,L115/_xlfn.XLOOKUP(D115,D116:D$1000,L116:L$1000,,0,1)))</f>
        <v>105.34067940690593</v>
      </c>
      <c r="O115" s="59" cm="1">
        <f t="array" ref="O115">IFERROR(IF(I115&lt;_xlfn.XLOOKUP(D115,D116:D$1000,I116:I$1000,,0,1),G115*H115-_xlfn.XLOOKUP(D115,D116:D$1000,N116:N$1000,,0,1)*-E115*MAX(1,M115/IFERROR(_xlfn.XLOOKUP(D115,D116:D$1000,L116:L$1000,,0,1),M115)),0),0)</f>
        <v>0</v>
      </c>
      <c r="P115" s="56" t="str" cm="1">
        <f t="array" ref="P115">IF(O115&lt;0,1,IF(E115&lt;0, _xlfn.LET(_xlpm.v_cant, ABS(E115), _xlpm.v_fecha, B115, _xlpm.v_ticker, D115, _xlpm.rango_f, B116:B$1000, _xlpm.rango_t, E116:E$1000, _xlpm.filtro, D116:D$1000=_xlpm.v_ticker, _xlpm.c_fechas, _xlfn._xlws.FILTER(_xlpm.rango_f, _xlpm.filtro*(_xlpm.rango_t&gt;0), _xlpm.v_fecha), _xlpm.c_cants, _xlfn._xlws.FILTER(_xlpm.rango_t, _xlpm.filtro*(_xlpm.rango_t&gt;0), 0), _xlpm.v_acums_pasadas, ABS(SUMIFS(E116:E$1000, D116:D$1000, _xlpm.v_ticker, E116:E$1000,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6" spans="1:16" x14ac:dyDescent="0.45">
      <c r="A116" s="3" t="s">
        <v>70</v>
      </c>
      <c r="B116" s="4">
        <f t="shared" si="1"/>
        <v>45944</v>
      </c>
      <c r="C116" s="3" t="s">
        <v>90</v>
      </c>
      <c r="D116" s="3" t="s">
        <v>124</v>
      </c>
      <c r="E116" s="3">
        <v>0.13515646000000001</v>
      </c>
      <c r="F116" s="3">
        <v>13.178800000000001</v>
      </c>
      <c r="G116" s="3">
        <v>-1.81</v>
      </c>
      <c r="H116" s="5">
        <v>18.521999999999998</v>
      </c>
      <c r="I116" s="8">
        <f>SUMIF(D116:D$1000,D116,E116:E$1000)</f>
        <v>5.5630739500000006</v>
      </c>
      <c r="J116" s="9" cm="1">
        <f t="array" ref="J116">IF(I116&gt;IFERROR(_xlfn.XLOOKUP(D116,D117:D$1000,I117:I$1000,,0,1),0),(IFERROR(_xlfn.XLOOKUP(D116,D117:D$1000,J117:J$1000,,0,1),0)*IFERROR(_xlfn.XLOOKUP(D116,D117:D$1000,I117:I$1000,,0,1),0)-G116*H116)/I116,_xlfn.XLOOKUP(D116,D117:D$1000,J117:J$1000,,0,1))</f>
        <v>78.858698872231727</v>
      </c>
      <c r="K116" s="10" cm="1">
        <f t="array" ref="K116">IFERROR(IF(I116&lt;_xlfn.XLOOKUP(D116,D117:D$1000,I117:I$1000,,0,1),G116*H116-_xlfn.XLOOKUP(D116,D117:D$1000,J117:J$1000,,0,1)*-E116,0),0)</f>
        <v>0</v>
      </c>
      <c r="L116" s="56">
        <v>141.708</v>
      </c>
      <c r="M116" s="56">
        <v>141.197</v>
      </c>
      <c r="N116" s="59" cm="1">
        <f t="array" ref="N116">IF(I116&gt;_xlfn.XLOOKUP(D116,D117:D$1000,I117:I$1000,0,0,1),(_xlfn.XLOOKUP(D116,D117:D$1000,N117:N$1000,0,0,1)*MAX(1,L116/_xlfn.XLOOKUP(D116,D117:D$1000,L117:L$1000,L116,0,1))*_xlfn.XLOOKUP(D116,D117:D$1000,I117:I$1000,0,0,1)-G116*H116)/I116,_xlfn.XLOOKUP(D116,D117:D$1000,N117:N$1000,,0,1)*MAX(1,L116/_xlfn.XLOOKUP(D116,D117:D$1000,L117:L$1000,,0,1)))</f>
        <v>80.394169286706301</v>
      </c>
      <c r="O116" s="59" cm="1">
        <f t="array" ref="O116">IFERROR(IF(I116&lt;_xlfn.XLOOKUP(D116,D117:D$1000,I117:I$1000,,0,1),G116*H116-_xlfn.XLOOKUP(D116,D117:D$1000,N117:N$1000,,0,1)*-E116*MAX(1,M116/IFERROR(_xlfn.XLOOKUP(D116,D117:D$1000,L117:L$1000,,0,1),M116)),0),0)</f>
        <v>0</v>
      </c>
      <c r="P116" s="56" t="str" cm="1">
        <f t="array" ref="P116">IF(O116&lt;0,1,IF(E116&lt;0, _xlfn.LET(_xlpm.v_cant, ABS(E116), _xlpm.v_fecha, B116, _xlpm.v_ticker, D116, _xlpm.rango_f, B117:B$1000, _xlpm.rango_t, E117:E$1000, _xlpm.filtro, D117:D$1000=_xlpm.v_ticker, _xlpm.c_fechas, _xlfn._xlws.FILTER(_xlpm.rango_f, _xlpm.filtro*(_xlpm.rango_t&gt;0), _xlpm.v_fecha), _xlpm.c_cants, _xlfn._xlws.FILTER(_xlpm.rango_t, _xlpm.filtro*(_xlpm.rango_t&gt;0), 0), _xlpm.v_acums_pasadas, ABS(SUMIFS(E117:E$1000, D117:D$1000, _xlpm.v_ticker, E117:E$1000,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7" spans="1:16" x14ac:dyDescent="0.45">
      <c r="A117" s="3" t="s">
        <v>69</v>
      </c>
      <c r="B117" s="4">
        <f t="shared" si="1"/>
        <v>45937</v>
      </c>
      <c r="C117" s="3" t="s">
        <v>90</v>
      </c>
      <c r="D117" s="3" t="s">
        <v>93</v>
      </c>
      <c r="E117" s="3">
        <v>0.25232420999999999</v>
      </c>
      <c r="F117" s="3">
        <v>59.288800000000002</v>
      </c>
      <c r="G117" s="3">
        <v>-14.99</v>
      </c>
      <c r="H117" s="5">
        <v>18.376200000000001</v>
      </c>
      <c r="I117" s="8">
        <f>SUMIF(D117:D$1000,D117,E117:E$1000)</f>
        <v>1.5007963600000001</v>
      </c>
      <c r="J117" s="9" cm="1">
        <f t="array" ref="J117">IF(I117&gt;IFERROR(_xlfn.XLOOKUP(D117,D118:D$1000,I118:I$1000,,0,1),0),(IFERROR(_xlfn.XLOOKUP(D117,D118:D$1000,J118:J$1000,,0,1),0)*IFERROR(_xlfn.XLOOKUP(D117,D118:D$1000,I118:I$1000,,0,1),0)-G117*H117)/I117,_xlfn.XLOOKUP(D117,D118:D$1000,J118:J$1000,,0,1))</f>
        <v>1974.7019282482797</v>
      </c>
      <c r="K117" s="10" cm="1">
        <f t="array" ref="K117">IFERROR(IF(I117&lt;_xlfn.XLOOKUP(D117,D118:D$1000,I118:I$1000,,0,1),G117*H117-_xlfn.XLOOKUP(D117,D118:D$1000,J118:J$1000,,0,1)*-E117,0),0)</f>
        <v>0</v>
      </c>
      <c r="L117" s="56">
        <v>141.708</v>
      </c>
      <c r="M117" s="56">
        <v>141.197</v>
      </c>
      <c r="N117" s="59" cm="1">
        <f t="array" ref="N117">IF(I117&gt;_xlfn.XLOOKUP(D117,D118:D$1000,I118:I$1000,0,0,1),(_xlfn.XLOOKUP(D117,D118:D$1000,N118:N$1000,0,0,1)*MAX(1,L117/_xlfn.XLOOKUP(D117,D118:D$1000,L118:L$1000,L117,0,1))*_xlfn.XLOOKUP(D117,D118:D$1000,I118:I$1000,0,0,1)-G117*H117)/I117,_xlfn.XLOOKUP(D117,D118:D$1000,N118:N$1000,,0,1)*MAX(1,L117/_xlfn.XLOOKUP(D117,D118:D$1000,L118:L$1000,,0,1)))</f>
        <v>2047.105764318241</v>
      </c>
      <c r="O117" s="59" cm="1">
        <f t="array" ref="O117">IFERROR(IF(I117&lt;_xlfn.XLOOKUP(D117,D118:D$1000,I118:I$1000,,0,1),G117*H117-_xlfn.XLOOKUP(D117,D118:D$1000,N118:N$1000,,0,1)*-E117*MAX(1,M117/IFERROR(_xlfn.XLOOKUP(D117,D118:D$1000,L118:L$1000,,0,1),M117)),0),0)</f>
        <v>0</v>
      </c>
      <c r="P117" s="56" t="str" cm="1">
        <f t="array" ref="P117">IF(O117&lt;0,1,IF(E117&lt;0, _xlfn.LET(_xlpm.v_cant, ABS(E117), _xlpm.v_fecha, B117, _xlpm.v_ticker, D117, _xlpm.rango_f, B118:B$1000, _xlpm.rango_t, E118:E$1000, _xlpm.filtro, D118:D$1000=_xlpm.v_ticker, _xlpm.c_fechas, _xlfn._xlws.FILTER(_xlpm.rango_f, _xlpm.filtro*(_xlpm.rango_t&gt;0), _xlpm.v_fecha), _xlpm.c_cants, _xlfn._xlws.FILTER(_xlpm.rango_t, _xlpm.filtro*(_xlpm.rango_t&gt;0), 0), _xlpm.v_acums_pasadas, ABS(SUMIFS(E118:E$1000, D118:D$1000, _xlpm.v_ticker, E118:E$1000,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8" spans="1:16" x14ac:dyDescent="0.45">
      <c r="A118" s="3" t="s">
        <v>69</v>
      </c>
      <c r="B118" s="4">
        <f t="shared" si="1"/>
        <v>45937</v>
      </c>
      <c r="C118" s="3" t="s">
        <v>90</v>
      </c>
      <c r="D118" s="3" t="s">
        <v>111</v>
      </c>
      <c r="E118" s="3">
        <v>0.24354612</v>
      </c>
      <c r="F118" s="3">
        <v>49.148800000000001</v>
      </c>
      <c r="G118" s="3">
        <v>-11.99</v>
      </c>
      <c r="H118" s="5">
        <v>18.376200000000001</v>
      </c>
      <c r="I118" s="8">
        <f>SUMIF(D118:D$1000,D118,E118:E$1000)</f>
        <v>0.78007727999999998</v>
      </c>
      <c r="J118" s="9" cm="1">
        <f t="array" ref="J118">IF(I118&gt;IFERROR(_xlfn.XLOOKUP(D118,D119:D$1000,I119:I$1000,,0,1),0),(IFERROR(_xlfn.XLOOKUP(D118,D119:D$1000,J119:J$1000,,0,1),0)*IFERROR(_xlfn.XLOOKUP(D118,D119:D$1000,I119:I$1000,,0,1),0)-G118*H118)/I118,_xlfn.XLOOKUP(D118,D119:D$1000,J119:J$1000,,0,1))</f>
        <v>1305.3047167326808</v>
      </c>
      <c r="K118" s="10" cm="1">
        <f t="array" ref="K118">IFERROR(IF(I118&lt;_xlfn.XLOOKUP(D118,D119:D$1000,I119:I$1000,,0,1),G118*H118-_xlfn.XLOOKUP(D118,D119:D$1000,J119:J$1000,,0,1)*-E118,0),0)</f>
        <v>0</v>
      </c>
      <c r="L118" s="56">
        <v>141.708</v>
      </c>
      <c r="M118" s="56">
        <v>141.197</v>
      </c>
      <c r="N118" s="59" cm="1">
        <f t="array" ref="N118">IF(I118&gt;_xlfn.XLOOKUP(D118,D119:D$1000,I119:I$1000,0,0,1),(_xlfn.XLOOKUP(D118,D119:D$1000,N119:N$1000,0,0,1)*MAX(1,L118/_xlfn.XLOOKUP(D118,D119:D$1000,L119:L$1000,L118,0,1))*_xlfn.XLOOKUP(D118,D119:D$1000,I119:I$1000,0,0,1)-G118*H118)/I118,_xlfn.XLOOKUP(D118,D119:D$1000,N119:N$1000,,0,1)*MAX(1,L118/_xlfn.XLOOKUP(D118,D119:D$1000,L119:L$1000,,0,1)))</f>
        <v>1333.1767667801316</v>
      </c>
      <c r="O118" s="59" cm="1">
        <f t="array" ref="O118">IFERROR(IF(I118&lt;_xlfn.XLOOKUP(D118,D119:D$1000,I119:I$1000,,0,1),G118*H118-_xlfn.XLOOKUP(D118,D119:D$1000,N119:N$1000,,0,1)*-E118*MAX(1,M118/IFERROR(_xlfn.XLOOKUP(D118,D119:D$1000,L119:L$1000,,0,1),M118)),0),0)</f>
        <v>0</v>
      </c>
      <c r="P118" s="56" t="str" cm="1">
        <f t="array" ref="P118">IF(O118&lt;0,1,IF(E118&lt;0, _xlfn.LET(_xlpm.v_cant, ABS(E118), _xlpm.v_fecha, B118, _xlpm.v_ticker, D118, _xlpm.rango_f, B119:B$1000, _xlpm.rango_t, E119:E$1000, _xlpm.filtro, D119:D$1000=_xlpm.v_ticker, _xlpm.c_fechas, _xlfn._xlws.FILTER(_xlpm.rango_f, _xlpm.filtro*(_xlpm.rango_t&gt;0), _xlpm.v_fecha), _xlpm.c_cants, _xlfn._xlws.FILTER(_xlpm.rango_t, _xlpm.filtro*(_xlpm.rango_t&gt;0), 0), _xlpm.v_acums_pasadas, ABS(SUMIFS(E119:E$1000, D119:D$1000, _xlpm.v_ticker, E119:E$1000,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19" spans="1:16" x14ac:dyDescent="0.45">
      <c r="A119" s="3" t="s">
        <v>69</v>
      </c>
      <c r="B119" s="4">
        <f t="shared" si="1"/>
        <v>45937</v>
      </c>
      <c r="C119" s="3" t="s">
        <v>90</v>
      </c>
      <c r="D119" s="3" t="s">
        <v>124</v>
      </c>
      <c r="E119" s="3">
        <v>0.38193697999999998</v>
      </c>
      <c r="F119" s="3">
        <v>13.0388</v>
      </c>
      <c r="G119" s="3">
        <v>-4.99</v>
      </c>
      <c r="H119" s="5">
        <v>18.376200000000001</v>
      </c>
      <c r="I119" s="8">
        <f>SUMIF(D119:D$1000,D119,E119:E$1000)</f>
        <v>5.4279174900000005</v>
      </c>
      <c r="J119" s="9" cm="1">
        <f t="array" ref="J119">IF(I119&gt;IFERROR(_xlfn.XLOOKUP(D119,D120:D$1000,I120:I$1000,,0,1),0),(IFERROR(_xlfn.XLOOKUP(D119,D120:D$1000,J120:J$1000,,0,1),0)*IFERROR(_xlfn.XLOOKUP(D119,D120:D$1000,I120:I$1000,,0,1),0)-G119*H119)/I119,_xlfn.XLOOKUP(D119,D120:D$1000,J120:J$1000,,0,1))</f>
        <v>74.645930814804402</v>
      </c>
      <c r="K119" s="10" cm="1">
        <f t="array" ref="K119">IFERROR(IF(I119&lt;_xlfn.XLOOKUP(D119,D120:D$1000,I120:I$1000,,0,1),G119*H119-_xlfn.XLOOKUP(D119,D120:D$1000,J120:J$1000,,0,1)*-E119,0),0)</f>
        <v>0</v>
      </c>
      <c r="L119" s="56">
        <v>141.708</v>
      </c>
      <c r="M119" s="56">
        <v>141.197</v>
      </c>
      <c r="N119" s="59" cm="1">
        <f t="array" ref="N119">IF(I119&gt;_xlfn.XLOOKUP(D119,D120:D$1000,I120:I$1000,0,0,1),(_xlfn.XLOOKUP(D119,D120:D$1000,N120:N$1000,0,0,1)*MAX(1,L119/_xlfn.XLOOKUP(D119,D120:D$1000,L120:L$1000,L119,0,1))*_xlfn.XLOOKUP(D119,D120:D$1000,I120:I$1000,0,0,1)-G119*H119)/I119,_xlfn.XLOOKUP(D119,D120:D$1000,N120:N$1000,,0,1)*MAX(1,L119/_xlfn.XLOOKUP(D119,D120:D$1000,L120:L$1000,,0,1)))</f>
        <v>76.219634814449975</v>
      </c>
      <c r="O119" s="59" cm="1">
        <f t="array" ref="O119">IFERROR(IF(I119&lt;_xlfn.XLOOKUP(D119,D120:D$1000,I120:I$1000,,0,1),G119*H119-_xlfn.XLOOKUP(D119,D120:D$1000,N120:N$1000,,0,1)*-E119*MAX(1,M119/IFERROR(_xlfn.XLOOKUP(D119,D120:D$1000,L120:L$1000,,0,1),M119)),0),0)</f>
        <v>0</v>
      </c>
      <c r="P119" s="56" t="str" cm="1">
        <f t="array" ref="P119">IF(O119&lt;0,1,IF(E119&lt;0, _xlfn.LET(_xlpm.v_cant, ABS(E119), _xlpm.v_fecha, B119, _xlpm.v_ticker, D119, _xlpm.rango_f, B120:B$1000, _xlpm.rango_t, E120:E$1000, _xlpm.filtro, D120:D$1000=_xlpm.v_ticker, _xlpm.c_fechas, _xlfn._xlws.FILTER(_xlpm.rango_f, _xlpm.filtro*(_xlpm.rango_t&gt;0), _xlpm.v_fecha), _xlpm.c_cants, _xlfn._xlws.FILTER(_xlpm.rango_t, _xlpm.filtro*(_xlpm.rango_t&gt;0), 0), _xlpm.v_acums_pasadas, ABS(SUMIFS(E120:E$1000, D120:D$1000, _xlpm.v_ticker, E120:E$1000,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0" spans="1:16" x14ac:dyDescent="0.45">
      <c r="A120" s="3" t="s">
        <v>69</v>
      </c>
      <c r="B120" s="4">
        <f t="shared" si="1"/>
        <v>45937</v>
      </c>
      <c r="C120" s="3" t="s">
        <v>90</v>
      </c>
      <c r="D120" s="3" t="s">
        <v>178</v>
      </c>
      <c r="E120" s="3">
        <v>0.60626329999999995</v>
      </c>
      <c r="F120" s="3">
        <v>16.445</v>
      </c>
      <c r="G120" s="3">
        <v>-9.99</v>
      </c>
      <c r="H120" s="5">
        <v>18.376200000000001</v>
      </c>
      <c r="I120" s="8">
        <f>SUMIF(D120:D$1000,D120,E120:E$1000)</f>
        <v>2.12850677</v>
      </c>
      <c r="J120" s="9" cm="1">
        <f t="array" ref="J120">IF(I120&gt;IFERROR(_xlfn.XLOOKUP(D120,D121:D$1000,I121:I$1000,,0,1),0),(IFERROR(_xlfn.XLOOKUP(D120,D121:D$1000,J121:J$1000,,0,1),0)*IFERROR(_xlfn.XLOOKUP(D120,D121:D$1000,I121:I$1000,,0,1),0)-G120*H120)/I120,_xlfn.XLOOKUP(D120,D121:D$1000,J121:J$1000,,0,1))</f>
        <v>217.42588631747691</v>
      </c>
      <c r="K120" s="10" cm="1">
        <f t="array" ref="K120">IFERROR(IF(I120&lt;_xlfn.XLOOKUP(D120,D121:D$1000,I121:I$1000,,0,1),G120*H120-_xlfn.XLOOKUP(D120,D121:D$1000,J121:J$1000,,0,1)*-E120,0),0)</f>
        <v>0</v>
      </c>
      <c r="L120" s="56">
        <v>141.708</v>
      </c>
      <c r="M120" s="56">
        <v>141.197</v>
      </c>
      <c r="N120" s="59" cm="1">
        <f t="array" ref="N120">IF(I120&gt;_xlfn.XLOOKUP(D120,D121:D$1000,I121:I$1000,0,0,1),(_xlfn.XLOOKUP(D120,D121:D$1000,N121:N$1000,0,0,1)*MAX(1,L120/_xlfn.XLOOKUP(D120,D121:D$1000,L121:L$1000,L120,0,1))*_xlfn.XLOOKUP(D120,D121:D$1000,I121:I$1000,0,0,1)-G120*H120)/I120,_xlfn.XLOOKUP(D120,D121:D$1000,N121:N$1000,,0,1)*MAX(1,L120/_xlfn.XLOOKUP(D120,D121:D$1000,L121:L$1000,,0,1)))</f>
        <v>218.29059442762076</v>
      </c>
      <c r="O120" s="59" cm="1">
        <f t="array" ref="O120">IFERROR(IF(I120&lt;_xlfn.XLOOKUP(D120,D121:D$1000,I121:I$1000,,0,1),G120*H120-_xlfn.XLOOKUP(D120,D121:D$1000,N121:N$1000,,0,1)*-E120*MAX(1,M120/IFERROR(_xlfn.XLOOKUP(D120,D121:D$1000,L121:L$1000,,0,1),M120)),0),0)</f>
        <v>0</v>
      </c>
      <c r="P120" s="56" t="str" cm="1">
        <f t="array" ref="P120">IF(O120&lt;0,1,IF(E120&lt;0, _xlfn.LET(_xlpm.v_cant, ABS(E120), _xlpm.v_fecha, B120, _xlpm.v_ticker, D120, _xlpm.rango_f, B121:B$1000, _xlpm.rango_t, E121:E$1000, _xlpm.filtro, D121:D$1000=_xlpm.v_ticker, _xlpm.c_fechas, _xlfn._xlws.FILTER(_xlpm.rango_f, _xlpm.filtro*(_xlpm.rango_t&gt;0), _xlpm.v_fecha), _xlpm.c_cants, _xlfn._xlws.FILTER(_xlpm.rango_t, _xlpm.filtro*(_xlpm.rango_t&gt;0), 0), _xlpm.v_acums_pasadas, ABS(SUMIFS(E121:E$1000, D121:D$1000, _xlpm.v_ticker, E121:E$1000,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1" spans="1:16" x14ac:dyDescent="0.45">
      <c r="A121" s="3" t="s">
        <v>68</v>
      </c>
      <c r="B121" s="4">
        <f t="shared" si="1"/>
        <v>45933</v>
      </c>
      <c r="C121" s="3" t="s">
        <v>90</v>
      </c>
      <c r="D121" s="3" t="s">
        <v>157</v>
      </c>
      <c r="E121" s="3">
        <v>0.24335591000000001</v>
      </c>
      <c r="F121" s="3">
        <v>40.968800000000002</v>
      </c>
      <c r="G121" s="3">
        <v>-9.99</v>
      </c>
      <c r="H121" s="5">
        <v>18.3902</v>
      </c>
      <c r="I121" s="8">
        <f>SUMIF(D121:D$1000,D121,E121:E$1000)</f>
        <v>0.64629066999999996</v>
      </c>
      <c r="J121" s="9" cm="1">
        <f t="array" ref="J121">IF(I121&gt;IFERROR(_xlfn.XLOOKUP(D121,D122:D$1000,I122:I$1000,,0,1),0),(IFERROR(_xlfn.XLOOKUP(D121,D122:D$1000,J122:J$1000,,0,1),0)*IFERROR(_xlfn.XLOOKUP(D121,D122:D$1000,I122:I$1000,,0,1),0)-G121*H121)/I121,_xlfn.XLOOKUP(D121,D122:D$1000,J122:J$1000,,0,1))</f>
        <v>869.42521853208882</v>
      </c>
      <c r="K121" s="10" cm="1">
        <f t="array" ref="K121">IFERROR(IF(I121&lt;_xlfn.XLOOKUP(D121,D122:D$1000,I122:I$1000,,0,1),G121*H121-_xlfn.XLOOKUP(D121,D122:D$1000,J122:J$1000,,0,1)*-E121,0),0)</f>
        <v>0</v>
      </c>
      <c r="L121" s="56">
        <v>141.708</v>
      </c>
      <c r="M121" s="56">
        <v>141.197</v>
      </c>
      <c r="N121" s="59" cm="1">
        <f t="array" ref="N121">IF(I121&gt;_xlfn.XLOOKUP(D121,D122:D$1000,I122:I$1000,0,0,1),(_xlfn.XLOOKUP(D121,D122:D$1000,N122:N$1000,0,0,1)*MAX(1,L121/_xlfn.XLOOKUP(D121,D122:D$1000,L122:L$1000,L121,0,1))*_xlfn.XLOOKUP(D121,D122:D$1000,I122:I$1000,0,0,1)-G121*H121)/I121,_xlfn.XLOOKUP(D121,D122:D$1000,N122:N$1000,,0,1)*MAX(1,L121/_xlfn.XLOOKUP(D121,D122:D$1000,L122:L$1000,,0,1)))</f>
        <v>872.9187221811211</v>
      </c>
      <c r="O121" s="59" cm="1">
        <f t="array" ref="O121">IFERROR(IF(I121&lt;_xlfn.XLOOKUP(D121,D122:D$1000,I122:I$1000,,0,1),G121*H121-_xlfn.XLOOKUP(D121,D122:D$1000,N122:N$1000,,0,1)*-E121*MAX(1,M121/IFERROR(_xlfn.XLOOKUP(D121,D122:D$1000,L122:L$1000,,0,1),M121)),0),0)</f>
        <v>0</v>
      </c>
      <c r="P121" s="56" t="str" cm="1">
        <f t="array" ref="P121">IF(O121&lt;0,1,IF(E121&lt;0, _xlfn.LET(_xlpm.v_cant, ABS(E121), _xlpm.v_fecha, B121, _xlpm.v_ticker, D121, _xlpm.rango_f, B122:B$1000, _xlpm.rango_t, E122:E$1000, _xlpm.filtro, D122:D$1000=_xlpm.v_ticker, _xlpm.c_fechas, _xlfn._xlws.FILTER(_xlpm.rango_f, _xlpm.filtro*(_xlpm.rango_t&gt;0), _xlpm.v_fecha), _xlpm.c_cants, _xlfn._xlws.FILTER(_xlpm.rango_t, _xlpm.filtro*(_xlpm.rango_t&gt;0), 0), _xlpm.v_acums_pasadas, ABS(SUMIFS(E122:E$1000, D122:D$1000, _xlpm.v_ticker, E122:E$1000,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2" spans="1:16" x14ac:dyDescent="0.45">
      <c r="A122" s="3" t="s">
        <v>68</v>
      </c>
      <c r="B122" s="4">
        <f t="shared" si="1"/>
        <v>45933</v>
      </c>
      <c r="C122" s="3" t="s">
        <v>90</v>
      </c>
      <c r="D122" s="3" t="s">
        <v>159</v>
      </c>
      <c r="E122" s="3">
        <v>0.29367753000000002</v>
      </c>
      <c r="F122" s="3">
        <v>33.948799999999999</v>
      </c>
      <c r="G122" s="3">
        <v>-9.99</v>
      </c>
      <c r="H122" s="5">
        <v>18.3902</v>
      </c>
      <c r="I122" s="8">
        <f>SUMIF(D122:D$1000,D122,E122:E$1000)</f>
        <v>0.73889271999999995</v>
      </c>
      <c r="J122" s="9" cm="1">
        <f t="array" ref="J122">IF(I122&gt;IFERROR(_xlfn.XLOOKUP(D122,D123:D$1000,I123:I$1000,,0,1),0),(IFERROR(_xlfn.XLOOKUP(D122,D123:D$1000,J123:J$1000,,0,1),0)*IFERROR(_xlfn.XLOOKUP(D122,D123:D$1000,I123:I$1000,,0,1),0)-G122*H122)/I122,_xlfn.XLOOKUP(D122,D123:D$1000,J123:J$1000,,0,1))</f>
        <v>629.50109726348376</v>
      </c>
      <c r="K122" s="10" cm="1">
        <f t="array" ref="K122">IFERROR(IF(I122&lt;_xlfn.XLOOKUP(D122,D123:D$1000,I123:I$1000,,0,1),G122*H122-_xlfn.XLOOKUP(D122,D123:D$1000,J123:J$1000,,0,1)*-E122,0),0)</f>
        <v>0</v>
      </c>
      <c r="L122" s="56">
        <v>141.708</v>
      </c>
      <c r="M122" s="56">
        <v>141.197</v>
      </c>
      <c r="N122" s="59" cm="1">
        <f t="array" ref="N122">IF(I122&gt;_xlfn.XLOOKUP(D122,D123:D$1000,I123:I$1000,0,0,1),(_xlfn.XLOOKUP(D122,D123:D$1000,N123:N$1000,0,0,1)*MAX(1,L122/_xlfn.XLOOKUP(D122,D123:D$1000,L123:L$1000,L122,0,1))*_xlfn.XLOOKUP(D122,D123:D$1000,I123:I$1000,0,0,1)-G122*H122)/I122,_xlfn.XLOOKUP(D122,D123:D$1000,N123:N$1000,,0,1)*MAX(1,L122/_xlfn.XLOOKUP(D122,D123:D$1000,L123:L$1000,,0,1)))</f>
        <v>631.77490444802891</v>
      </c>
      <c r="O122" s="59" cm="1">
        <f t="array" ref="O122">IFERROR(IF(I122&lt;_xlfn.XLOOKUP(D122,D123:D$1000,I123:I$1000,,0,1),G122*H122-_xlfn.XLOOKUP(D122,D123:D$1000,N123:N$1000,,0,1)*-E122*MAX(1,M122/IFERROR(_xlfn.XLOOKUP(D122,D123:D$1000,L123:L$1000,,0,1),M122)),0),0)</f>
        <v>0</v>
      </c>
      <c r="P122" s="56" t="str" cm="1">
        <f t="array" ref="P122">IF(O122&lt;0,1,IF(E122&lt;0, _xlfn.LET(_xlpm.v_cant, ABS(E122), _xlpm.v_fecha, B122, _xlpm.v_ticker, D122, _xlpm.rango_f, B123:B$1000, _xlpm.rango_t, E123:E$1000, _xlpm.filtro, D123:D$1000=_xlpm.v_ticker, _xlpm.c_fechas, _xlfn._xlws.FILTER(_xlpm.rango_f, _xlpm.filtro*(_xlpm.rango_t&gt;0), _xlpm.v_fecha), _xlpm.c_cants, _xlfn._xlws.FILTER(_xlpm.rango_t, _xlpm.filtro*(_xlpm.rango_t&gt;0), 0), _xlpm.v_acums_pasadas, ABS(SUMIFS(E123:E$1000, D123:D$1000, _xlpm.v_ticker, E123:E$1000,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3" spans="1:16" x14ac:dyDescent="0.45">
      <c r="A123" s="3" t="s">
        <v>67</v>
      </c>
      <c r="B123" s="4">
        <f t="shared" si="1"/>
        <v>45931</v>
      </c>
      <c r="C123" s="3" t="s">
        <v>90</v>
      </c>
      <c r="D123" s="3" t="s">
        <v>166</v>
      </c>
      <c r="E123" s="3">
        <v>95</v>
      </c>
      <c r="F123" s="3">
        <v>0.3634</v>
      </c>
      <c r="G123" s="3">
        <v>-34.520000000000003</v>
      </c>
      <c r="H123" s="5">
        <v>18.3477</v>
      </c>
      <c r="I123" s="8">
        <f>SUMIF(D123:D$1000,D123,E123:E$1000)</f>
        <v>96.064391850000007</v>
      </c>
      <c r="J123" s="9" cm="1">
        <f t="array" ref="J123">IF(I123&gt;IFERROR(_xlfn.XLOOKUP(D123,D124:D$1000,I124:I$1000,,0,1),0),(IFERROR(_xlfn.XLOOKUP(D123,D124:D$1000,J124:J$1000,,0,1),0)*IFERROR(_xlfn.XLOOKUP(D123,D124:D$1000,I124:I$1000,,0,1),0)-G123*H123)/I123,_xlfn.XLOOKUP(D123,D124:D$1000,J124:J$1000,,0,1))</f>
        <v>6.6828718803782232</v>
      </c>
      <c r="K123" s="10" cm="1">
        <f t="array" ref="K123">IFERROR(IF(I123&lt;_xlfn.XLOOKUP(D123,D124:D$1000,I124:I$1000,,0,1),G123*H123-_xlfn.XLOOKUP(D123,D124:D$1000,J124:J$1000,,0,1)*-E123,0),0)</f>
        <v>0</v>
      </c>
      <c r="L123" s="56">
        <v>141.708</v>
      </c>
      <c r="M123" s="56">
        <v>141.197</v>
      </c>
      <c r="N123" s="59" cm="1">
        <f t="array" ref="N123">IF(I123&gt;_xlfn.XLOOKUP(D123,D124:D$1000,I124:I$1000,0,0,1),(_xlfn.XLOOKUP(D123,D124:D$1000,N124:N$1000,0,0,1)*MAX(1,L123/_xlfn.XLOOKUP(D123,D124:D$1000,L124:L$1000,L123,0,1))*_xlfn.XLOOKUP(D123,D124:D$1000,I124:I$1000,0,0,1)-G123*H123)/I123,_xlfn.XLOOKUP(D123,D124:D$1000,N124:N$1000,,0,1)*MAX(1,L123/_xlfn.XLOOKUP(D123,D124:D$1000,L124:L$1000,,0,1)))</f>
        <v>6.6828718803782232</v>
      </c>
      <c r="O123" s="59" cm="1">
        <f t="array" ref="O123">IFERROR(IF(I123&lt;_xlfn.XLOOKUP(D123,D124:D$1000,I124:I$1000,,0,1),G123*H123-_xlfn.XLOOKUP(D123,D124:D$1000,N124:N$1000,,0,1)*-E123*MAX(1,M123/IFERROR(_xlfn.XLOOKUP(D123,D124:D$1000,L124:L$1000,,0,1),M123)),0),0)</f>
        <v>0</v>
      </c>
      <c r="P123" s="56" t="str" cm="1">
        <f t="array" ref="P123">IF(O123&lt;0,1,IF(E123&lt;0, _xlfn.LET(_xlpm.v_cant, ABS(E123), _xlpm.v_fecha, B123, _xlpm.v_ticker, D123, _xlpm.rango_f, B124:B$1000, _xlpm.rango_t, E124:E$1000, _xlpm.filtro, D124:D$1000=_xlpm.v_ticker, _xlpm.c_fechas, _xlfn._xlws.FILTER(_xlpm.rango_f, _xlpm.filtro*(_xlpm.rango_t&gt;0), _xlpm.v_fecha), _xlpm.c_cants, _xlfn._xlws.FILTER(_xlpm.rango_t, _xlpm.filtro*(_xlpm.rango_t&gt;0), 0), _xlpm.v_acums_pasadas, ABS(SUMIFS(E124:E$1000, D124:D$1000, _xlpm.v_ticker, E124:E$1000,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4" spans="1:16" x14ac:dyDescent="0.45">
      <c r="A124" s="3" t="s">
        <v>67</v>
      </c>
      <c r="B124" s="4">
        <f t="shared" si="1"/>
        <v>45931</v>
      </c>
      <c r="C124" s="3" t="s">
        <v>90</v>
      </c>
      <c r="D124" s="3" t="s">
        <v>166</v>
      </c>
      <c r="E124" s="3">
        <v>1</v>
      </c>
      <c r="F124" s="3">
        <v>0.36359999999999998</v>
      </c>
      <c r="G124" s="3">
        <v>-0.36</v>
      </c>
      <c r="H124" s="5">
        <v>18.3477</v>
      </c>
      <c r="I124" s="8">
        <f>SUMIF(D124:D$1000,D124,E124:E$1000)</f>
        <v>1.06439185</v>
      </c>
      <c r="J124" s="9" cm="1">
        <f t="array" ref="J124">IF(I124&gt;IFERROR(_xlfn.XLOOKUP(D124,D125:D$1000,I125:I$1000,,0,1),0),(IFERROR(_xlfn.XLOOKUP(D124,D125:D$1000,J125:J$1000,,0,1),0)*IFERROR(_xlfn.XLOOKUP(D124,D125:D$1000,I125:I$1000,,0,1),0)-G124*H124)/I124,_xlfn.XLOOKUP(D124,D125:D$1000,J125:J$1000,,0,1))</f>
        <v>8.1017333982780873</v>
      </c>
      <c r="K124" s="10" cm="1">
        <f t="array" ref="K124">IFERROR(IF(I124&lt;_xlfn.XLOOKUP(D124,D125:D$1000,I125:I$1000,,0,1),G124*H124-_xlfn.XLOOKUP(D124,D125:D$1000,J125:J$1000,,0,1)*-E124,0),0)</f>
        <v>0</v>
      </c>
      <c r="L124" s="56">
        <v>141.708</v>
      </c>
      <c r="M124" s="56">
        <v>141.197</v>
      </c>
      <c r="N124" s="59" cm="1">
        <f t="array" ref="N124">IF(I124&gt;_xlfn.XLOOKUP(D124,D125:D$1000,I125:I$1000,0,0,1),(_xlfn.XLOOKUP(D124,D125:D$1000,N125:N$1000,0,0,1)*MAX(1,L124/_xlfn.XLOOKUP(D124,D125:D$1000,L125:L$1000,L124,0,1))*_xlfn.XLOOKUP(D124,D125:D$1000,I125:I$1000,0,0,1)-G124*H124)/I124,_xlfn.XLOOKUP(D124,D125:D$1000,N125:N$1000,,0,1)*MAX(1,L124/_xlfn.XLOOKUP(D124,D125:D$1000,L125:L$1000,,0,1)))</f>
        <v>8.1017333982780873</v>
      </c>
      <c r="O124" s="59" cm="1">
        <f t="array" ref="O124">IFERROR(IF(I124&lt;_xlfn.XLOOKUP(D124,D125:D$1000,I125:I$1000,,0,1),G124*H124-_xlfn.XLOOKUP(D124,D125:D$1000,N125:N$1000,,0,1)*-E124*MAX(1,M124/IFERROR(_xlfn.XLOOKUP(D124,D125:D$1000,L125:L$1000,,0,1),M124)),0),0)</f>
        <v>0</v>
      </c>
      <c r="P124" s="56" t="str" cm="1">
        <f t="array" ref="P124">IF(O124&lt;0,1,IF(E124&lt;0, _xlfn.LET(_xlpm.v_cant, ABS(E124), _xlpm.v_fecha, B124, _xlpm.v_ticker, D124, _xlpm.rango_f, B125:B$1000, _xlpm.rango_t, E125:E$1000, _xlpm.filtro, D125:D$1000=_xlpm.v_ticker, _xlpm.c_fechas, _xlfn._xlws.FILTER(_xlpm.rango_f, _xlpm.filtro*(_xlpm.rango_t&gt;0), _xlpm.v_fecha), _xlpm.c_cants, _xlfn._xlws.FILTER(_xlpm.rango_t, _xlpm.filtro*(_xlpm.rango_t&gt;0), 0), _xlpm.v_acums_pasadas, ABS(SUMIFS(E125:E$1000, D125:D$1000, _xlpm.v_ticker, E125:E$1000,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5" spans="1:16" x14ac:dyDescent="0.45">
      <c r="A125" s="3" t="s">
        <v>67</v>
      </c>
      <c r="B125" s="4">
        <f t="shared" si="1"/>
        <v>45931</v>
      </c>
      <c r="C125" s="3" t="s">
        <v>90</v>
      </c>
      <c r="D125" s="3" t="s">
        <v>166</v>
      </c>
      <c r="E125" s="3">
        <v>6.439185E-2</v>
      </c>
      <c r="F125" s="3">
        <v>0.3634</v>
      </c>
      <c r="G125" s="3">
        <v>-0.11</v>
      </c>
      <c r="H125" s="5">
        <v>18.3477</v>
      </c>
      <c r="I125" s="8">
        <f>SUMIF(D125:D$1000,D125,E125:E$1000)</f>
        <v>6.439185E-2</v>
      </c>
      <c r="J125" s="9" cm="1">
        <f t="array" ref="J125">IF(I125&gt;IFERROR(_xlfn.XLOOKUP(D125,D126:D$1000,I126:I$1000,,0,1),0),(IFERROR(_xlfn.XLOOKUP(D125,D126:D$1000,J126:J$1000,,0,1),0)*IFERROR(_xlfn.XLOOKUP(D125,D126:D$1000,I126:I$1000,,0,1),0)-G125*H125)/I125,_xlfn.XLOOKUP(D125,D126:D$1000,J126:J$1000,,0,1))</f>
        <v>31.343205700721445</v>
      </c>
      <c r="K125" s="10" cm="1">
        <f t="array" ref="K125">IFERROR(IF(I125&lt;_xlfn.XLOOKUP(D125,D126:D$1000,I126:I$1000,,0,1),G125*H125-_xlfn.XLOOKUP(D125,D126:D$1000,J126:J$1000,,0,1)*-E125,0),0)</f>
        <v>0</v>
      </c>
      <c r="L125" s="56">
        <v>141.708</v>
      </c>
      <c r="M125" s="56">
        <v>141.197</v>
      </c>
      <c r="N125" s="59" cm="1">
        <f t="array" ref="N125">IF(I125&gt;_xlfn.XLOOKUP(D125,D126:D$1000,I126:I$1000,0,0,1),(_xlfn.XLOOKUP(D125,D126:D$1000,N126:N$1000,0,0,1)*MAX(1,L125/_xlfn.XLOOKUP(D125,D126:D$1000,L126:L$1000,L125,0,1))*_xlfn.XLOOKUP(D125,D126:D$1000,I126:I$1000,0,0,1)-G125*H125)/I125,_xlfn.XLOOKUP(D125,D126:D$1000,N126:N$1000,,0,1)*MAX(1,L125/_xlfn.XLOOKUP(D125,D126:D$1000,L126:L$1000,,0,1)))</f>
        <v>31.343205700721445</v>
      </c>
      <c r="O125" s="59" cm="1">
        <f t="array" ref="O125">IFERROR(IF(I125&lt;_xlfn.XLOOKUP(D125,D126:D$1000,I126:I$1000,,0,1),G125*H125-_xlfn.XLOOKUP(D125,D126:D$1000,N126:N$1000,,0,1)*-E125*MAX(1,M125/IFERROR(_xlfn.XLOOKUP(D125,D126:D$1000,L126:L$1000,,0,1),M125)),0),0)</f>
        <v>0</v>
      </c>
      <c r="P125" s="56" t="str" cm="1">
        <f t="array" ref="P125">IF(O125&lt;0,1,IF(E125&lt;0, _xlfn.LET(_xlpm.v_cant, ABS(E125), _xlpm.v_fecha, B125, _xlpm.v_ticker, D125, _xlpm.rango_f, B126:B$1000, _xlpm.rango_t, E126:E$1000, _xlpm.filtro, D126:D$1000=_xlpm.v_ticker, _xlpm.c_fechas, _xlfn._xlws.FILTER(_xlpm.rango_f, _xlpm.filtro*(_xlpm.rango_t&gt;0), _xlpm.v_fecha), _xlpm.c_cants, _xlfn._xlws.FILTER(_xlpm.rango_t, _xlpm.filtro*(_xlpm.rango_t&gt;0), 0), _xlpm.v_acums_pasadas, ABS(SUMIFS(E126:E$1000, D126:D$1000, _xlpm.v_ticker, E126:E$1000,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6" spans="1:16" x14ac:dyDescent="0.45">
      <c r="A126" s="3" t="s">
        <v>67</v>
      </c>
      <c r="B126" s="4">
        <f t="shared" si="1"/>
        <v>45931</v>
      </c>
      <c r="C126" s="3" t="s">
        <v>90</v>
      </c>
      <c r="D126" s="3" t="s">
        <v>161</v>
      </c>
      <c r="E126" s="3">
        <v>3</v>
      </c>
      <c r="F126" s="3">
        <v>8.1576000000000004</v>
      </c>
      <c r="G126" s="3">
        <v>-24.47</v>
      </c>
      <c r="H126" s="5">
        <v>18.3477</v>
      </c>
      <c r="I126" s="8">
        <f>SUMIF(D126:D$1000,D126,E126:E$1000)</f>
        <v>3.05604589</v>
      </c>
      <c r="J126" s="9" cm="1">
        <f t="array" ref="J126">IF(I126&gt;IFERROR(_xlfn.XLOOKUP(D126,D127:D$1000,I127:I$1000,,0,1),0),(IFERROR(_xlfn.XLOOKUP(D126,D127:D$1000,J127:J$1000,,0,1),0)*IFERROR(_xlfn.XLOOKUP(D126,D127:D$1000,I127:I$1000,,0,1),0)-G126*H126)/I126,_xlfn.XLOOKUP(D126,D127:D$1000,J127:J$1000,,0,1))</f>
        <v>150.03342210937805</v>
      </c>
      <c r="K126" s="10" cm="1">
        <f t="array" ref="K126">IFERROR(IF(I126&lt;_xlfn.XLOOKUP(D126,D127:D$1000,I127:I$1000,,0,1),G126*H126-_xlfn.XLOOKUP(D126,D127:D$1000,J127:J$1000,,0,1)*-E126,0),0)</f>
        <v>0</v>
      </c>
      <c r="L126" s="56">
        <v>141.708</v>
      </c>
      <c r="M126" s="56">
        <v>141.197</v>
      </c>
      <c r="N126" s="59" cm="1">
        <f t="array" ref="N126">IF(I126&gt;_xlfn.XLOOKUP(D126,D127:D$1000,I127:I$1000,0,0,1),(_xlfn.XLOOKUP(D126,D127:D$1000,N127:N$1000,0,0,1)*MAX(1,L126/_xlfn.XLOOKUP(D126,D127:D$1000,L127:L$1000,L126,0,1))*_xlfn.XLOOKUP(D126,D127:D$1000,I127:I$1000,0,0,1)-G126*H126)/I126,_xlfn.XLOOKUP(D126,D127:D$1000,N127:N$1000,,0,1)*MAX(1,L126/_xlfn.XLOOKUP(D126,D127:D$1000,L127:L$1000,,0,1)))</f>
        <v>150.03342210937805</v>
      </c>
      <c r="O126" s="59" cm="1">
        <f t="array" ref="O126">IFERROR(IF(I126&lt;_xlfn.XLOOKUP(D126,D127:D$1000,I127:I$1000,,0,1),G126*H126-_xlfn.XLOOKUP(D126,D127:D$1000,N127:N$1000,,0,1)*-E126*MAX(1,M126/IFERROR(_xlfn.XLOOKUP(D126,D127:D$1000,L127:L$1000,,0,1),M126)),0),0)</f>
        <v>0</v>
      </c>
      <c r="P126" s="56" t="str" cm="1">
        <f t="array" ref="P126">IF(O126&lt;0,1,IF(E126&lt;0, _xlfn.LET(_xlpm.v_cant, ABS(E126), _xlpm.v_fecha, B126, _xlpm.v_ticker, D126, _xlpm.rango_f, B127:B$1000, _xlpm.rango_t, E127:E$1000, _xlpm.filtro, D127:D$1000=_xlpm.v_ticker, _xlpm.c_fechas, _xlfn._xlws.FILTER(_xlpm.rango_f, _xlpm.filtro*(_xlpm.rango_t&gt;0), _xlpm.v_fecha), _xlpm.c_cants, _xlfn._xlws.FILTER(_xlpm.rango_t, _xlpm.filtro*(_xlpm.rango_t&gt;0), 0), _xlpm.v_acums_pasadas, ABS(SUMIFS(E127:E$1000, D127:D$1000, _xlpm.v_ticker, E127:E$1000,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7" spans="1:16" x14ac:dyDescent="0.45">
      <c r="A127" s="3" t="s">
        <v>67</v>
      </c>
      <c r="B127" s="4">
        <f t="shared" si="1"/>
        <v>45931</v>
      </c>
      <c r="C127" s="3" t="s">
        <v>90</v>
      </c>
      <c r="D127" s="3" t="s">
        <v>161</v>
      </c>
      <c r="E127" s="3">
        <v>5.6045890000000001E-2</v>
      </c>
      <c r="F127" s="3">
        <v>8.1576000000000004</v>
      </c>
      <c r="G127" s="3">
        <v>-0.52</v>
      </c>
      <c r="H127" s="5">
        <v>18.3477</v>
      </c>
      <c r="I127" s="8">
        <f>SUMIF(D127:D$1000,D127,E127:E$1000)</f>
        <v>5.6045890000000001E-2</v>
      </c>
      <c r="J127" s="9" cm="1">
        <f t="array" ref="J127">IF(I127&gt;IFERROR(_xlfn.XLOOKUP(D127,D128:D$1000,I128:I$1000,,0,1),0),(IFERROR(_xlfn.XLOOKUP(D127,D128:D$1000,J128:J$1000,,0,1),0)*IFERROR(_xlfn.XLOOKUP(D127,D128:D$1000,I128:I$1000,,0,1),0)-G127*H127)/I127,_xlfn.XLOOKUP(D127,D128:D$1000,J128:J$1000,,0,1))</f>
        <v>170.23200095493175</v>
      </c>
      <c r="K127" s="10" cm="1">
        <f t="array" ref="K127">IFERROR(IF(I127&lt;_xlfn.XLOOKUP(D127,D128:D$1000,I128:I$1000,,0,1),G127*H127-_xlfn.XLOOKUP(D127,D128:D$1000,J128:J$1000,,0,1)*-E127,0),0)</f>
        <v>0</v>
      </c>
      <c r="L127" s="56">
        <v>141.708</v>
      </c>
      <c r="M127" s="56">
        <v>141.197</v>
      </c>
      <c r="N127" s="59" cm="1">
        <f t="array" ref="N127">IF(I127&gt;_xlfn.XLOOKUP(D127,D128:D$1000,I128:I$1000,0,0,1),(_xlfn.XLOOKUP(D127,D128:D$1000,N128:N$1000,0,0,1)*MAX(1,L127/_xlfn.XLOOKUP(D127,D128:D$1000,L128:L$1000,L127,0,1))*_xlfn.XLOOKUP(D127,D128:D$1000,I128:I$1000,0,0,1)-G127*H127)/I127,_xlfn.XLOOKUP(D127,D128:D$1000,N128:N$1000,,0,1)*MAX(1,L127/_xlfn.XLOOKUP(D127,D128:D$1000,L128:L$1000,,0,1)))</f>
        <v>170.23200095493175</v>
      </c>
      <c r="O127" s="59" cm="1">
        <f t="array" ref="O127">IFERROR(IF(I127&lt;_xlfn.XLOOKUP(D127,D128:D$1000,I128:I$1000,,0,1),G127*H127-_xlfn.XLOOKUP(D127,D128:D$1000,N128:N$1000,,0,1)*-E127*MAX(1,M127/IFERROR(_xlfn.XLOOKUP(D127,D128:D$1000,L128:L$1000,,0,1),M127)),0),0)</f>
        <v>0</v>
      </c>
      <c r="P127" s="56" t="str" cm="1">
        <f t="array" ref="P127">IF(O127&lt;0,1,IF(E127&lt;0, _xlfn.LET(_xlpm.v_cant, ABS(E127), _xlpm.v_fecha, B127, _xlpm.v_ticker, D127, _xlpm.rango_f, B128:B$1000, _xlpm.rango_t, E128:E$1000, _xlpm.filtro, D128:D$1000=_xlpm.v_ticker, _xlpm.c_fechas, _xlfn._xlws.FILTER(_xlpm.rango_f, _xlpm.filtro*(_xlpm.rango_t&gt;0), _xlpm.v_fecha), _xlpm.c_cants, _xlfn._xlws.FILTER(_xlpm.rango_t, _xlpm.filtro*(_xlpm.rango_t&gt;0), 0), _xlpm.v_acums_pasadas, ABS(SUMIFS(E128:E$1000, D128:D$1000, _xlpm.v_ticker, E128:E$1000,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8" spans="1:16" x14ac:dyDescent="0.45">
      <c r="A128" s="3" t="s">
        <v>67</v>
      </c>
      <c r="B128" s="4">
        <f t="shared" si="1"/>
        <v>45931</v>
      </c>
      <c r="C128" s="3" t="s">
        <v>90</v>
      </c>
      <c r="D128" s="3" t="s">
        <v>201</v>
      </c>
      <c r="E128" s="3">
        <v>0.67240831999999995</v>
      </c>
      <c r="F128" s="3">
        <v>14.827299999999999</v>
      </c>
      <c r="G128" s="3">
        <v>-9.99</v>
      </c>
      <c r="H128" s="5">
        <v>18.3477</v>
      </c>
      <c r="I128" s="8">
        <f>SUMIF(D128:D$1000,D128,E128:E$1000)</f>
        <v>0.67240831999999995</v>
      </c>
      <c r="J128" s="9" cm="1">
        <f t="array" ref="J128">IF(I128&gt;IFERROR(_xlfn.XLOOKUP(D128,D129:D$1000,I129:I$1000,,0,1),0),(IFERROR(_xlfn.XLOOKUP(D128,D129:D$1000,J129:J$1000,,0,1),0)*IFERROR(_xlfn.XLOOKUP(D128,D129:D$1000,I129:I$1000,,0,1),0)-G128*H128)/I128,_xlfn.XLOOKUP(D128,D129:D$1000,J129:J$1000,,0,1))</f>
        <v>272.59258630232296</v>
      </c>
      <c r="K128" s="10" cm="1">
        <f t="array" ref="K128">IFERROR(IF(I128&lt;_xlfn.XLOOKUP(D128,D129:D$1000,I129:I$1000,,0,1),G128*H128-_xlfn.XLOOKUP(D128,D129:D$1000,J129:J$1000,,0,1)*-E128,0),0)</f>
        <v>0</v>
      </c>
      <c r="L128" s="56">
        <v>141.708</v>
      </c>
      <c r="M128" s="56">
        <v>141.197</v>
      </c>
      <c r="N128" s="59" cm="1">
        <f t="array" ref="N128">IF(I128&gt;_xlfn.XLOOKUP(D128,D129:D$1000,I129:I$1000,0,0,1),(_xlfn.XLOOKUP(D128,D129:D$1000,N129:N$1000,0,0,1)*MAX(1,L128/_xlfn.XLOOKUP(D128,D129:D$1000,L129:L$1000,L128,0,1))*_xlfn.XLOOKUP(D128,D129:D$1000,I129:I$1000,0,0,1)-G128*H128)/I128,_xlfn.XLOOKUP(D128,D129:D$1000,N129:N$1000,,0,1)*MAX(1,L128/_xlfn.XLOOKUP(D128,D129:D$1000,L129:L$1000,,0,1)))</f>
        <v>272.59258630232296</v>
      </c>
      <c r="O128" s="59" cm="1">
        <f t="array" ref="O128">IFERROR(IF(I128&lt;_xlfn.XLOOKUP(D128,D129:D$1000,I129:I$1000,,0,1),G128*H128-_xlfn.XLOOKUP(D128,D129:D$1000,N129:N$1000,,0,1)*-E128*MAX(1,M128/IFERROR(_xlfn.XLOOKUP(D128,D129:D$1000,L129:L$1000,,0,1),M128)),0),0)</f>
        <v>0</v>
      </c>
      <c r="P128" s="56" t="str" cm="1">
        <f t="array" ref="P128">IF(O128&lt;0,1,IF(E128&lt;0, _xlfn.LET(_xlpm.v_cant, ABS(E128), _xlpm.v_fecha, B128, _xlpm.v_ticker, D128, _xlpm.rango_f, B129:B$1000, _xlpm.rango_t, E129:E$1000, _xlpm.filtro, D129:D$1000=_xlpm.v_ticker, _xlpm.c_fechas, _xlfn._xlws.FILTER(_xlpm.rango_f, _xlpm.filtro*(_xlpm.rango_t&gt;0), _xlpm.v_fecha), _xlpm.c_cants, _xlfn._xlws.FILTER(_xlpm.rango_t, _xlpm.filtro*(_xlpm.rango_t&gt;0), 0), _xlpm.v_acums_pasadas, ABS(SUMIFS(E129:E$1000, D129:D$1000, _xlpm.v_ticker, E129:E$1000,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29" spans="1:16" x14ac:dyDescent="0.45">
      <c r="A129" s="3" t="s">
        <v>67</v>
      </c>
      <c r="B129" s="4">
        <f t="shared" si="1"/>
        <v>45931</v>
      </c>
      <c r="C129" s="3" t="s">
        <v>90</v>
      </c>
      <c r="D129" s="3" t="s">
        <v>202</v>
      </c>
      <c r="E129" s="3">
        <v>0.65347312999999996</v>
      </c>
      <c r="F129" s="3">
        <v>38.15</v>
      </c>
      <c r="G129" s="3">
        <v>-24.99</v>
      </c>
      <c r="H129" s="5">
        <v>18.3477</v>
      </c>
      <c r="I129" s="8">
        <f>SUMIF(D129:D$1000,D129,E129:E$1000)</f>
        <v>0.65347312999999996</v>
      </c>
      <c r="J129" s="9" cm="1">
        <f t="array" ref="J129">IF(I129&gt;IFERROR(_xlfn.XLOOKUP(D129,D130:D$1000,I130:I$1000,,0,1),0),(IFERROR(_xlfn.XLOOKUP(D129,D130:D$1000,J130:J$1000,,0,1),0)*IFERROR(_xlfn.XLOOKUP(D129,D130:D$1000,I130:I$1000,,0,1),0)-G129*H129)/I129,_xlfn.XLOOKUP(D129,D130:D$1000,J130:J$1000,,0,1))</f>
        <v>701.64938992977409</v>
      </c>
      <c r="K129" s="10" cm="1">
        <f t="array" ref="K129">IFERROR(IF(I129&lt;_xlfn.XLOOKUP(D129,D130:D$1000,I130:I$1000,,0,1),G129*H129-_xlfn.XLOOKUP(D129,D130:D$1000,J130:J$1000,,0,1)*-E129,0),0)</f>
        <v>0</v>
      </c>
      <c r="L129" s="56">
        <v>141.708</v>
      </c>
      <c r="M129" s="56">
        <v>141.197</v>
      </c>
      <c r="N129" s="59" cm="1">
        <f t="array" ref="N129">IF(I129&gt;_xlfn.XLOOKUP(D129,D130:D$1000,I130:I$1000,0,0,1),(_xlfn.XLOOKUP(D129,D130:D$1000,N130:N$1000,0,0,1)*MAX(1,L129/_xlfn.XLOOKUP(D129,D130:D$1000,L130:L$1000,L129,0,1))*_xlfn.XLOOKUP(D129,D130:D$1000,I130:I$1000,0,0,1)-G129*H129)/I129,_xlfn.XLOOKUP(D129,D130:D$1000,N130:N$1000,,0,1)*MAX(1,L129/_xlfn.XLOOKUP(D129,D130:D$1000,L130:L$1000,,0,1)))</f>
        <v>701.64938992977409</v>
      </c>
      <c r="O129" s="59" cm="1">
        <f t="array" ref="O129">IFERROR(IF(I129&lt;_xlfn.XLOOKUP(D129,D130:D$1000,I130:I$1000,,0,1),G129*H129-_xlfn.XLOOKUP(D129,D130:D$1000,N130:N$1000,,0,1)*-E129*MAX(1,M129/IFERROR(_xlfn.XLOOKUP(D129,D130:D$1000,L130:L$1000,,0,1),M129)),0),0)</f>
        <v>0</v>
      </c>
      <c r="P129" s="56" t="str" cm="1">
        <f t="array" ref="P129">IF(O129&lt;0,1,IF(E129&lt;0, _xlfn.LET(_xlpm.v_cant, ABS(E129), _xlpm.v_fecha, B129, _xlpm.v_ticker, D129, _xlpm.rango_f, B130:B$1000, _xlpm.rango_t, E130:E$1000, _xlpm.filtro, D130:D$1000=_xlpm.v_ticker, _xlpm.c_fechas, _xlfn._xlws.FILTER(_xlpm.rango_f, _xlpm.filtro*(_xlpm.rango_t&gt;0), _xlpm.v_fecha), _xlpm.c_cants, _xlfn._xlws.FILTER(_xlpm.rango_t, _xlpm.filtro*(_xlpm.rango_t&gt;0), 0), _xlpm.v_acums_pasadas, ABS(SUMIFS(E130:E$1000, D130:D$1000, _xlpm.v_ticker, E130:E$1000,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0" spans="1:16" x14ac:dyDescent="0.45">
      <c r="A130" s="3" t="s">
        <v>67</v>
      </c>
      <c r="B130" s="4">
        <f t="shared" ref="B130:B193" si="2">DATEVALUE(A130)</f>
        <v>45931</v>
      </c>
      <c r="C130" s="3" t="s">
        <v>90</v>
      </c>
      <c r="D130" s="3" t="s">
        <v>97</v>
      </c>
      <c r="E130" s="3">
        <v>0.19221574</v>
      </c>
      <c r="F130" s="3">
        <v>51.8688</v>
      </c>
      <c r="G130" s="3">
        <v>-9.99</v>
      </c>
      <c r="H130" s="5">
        <v>18.3477</v>
      </c>
      <c r="I130" s="8">
        <f>SUMIF(D130:D$1000,D130,E130:E$1000)</f>
        <v>11.833018709999999</v>
      </c>
      <c r="J130" s="9" cm="1">
        <f t="array" ref="J130">IF(I130&gt;IFERROR(_xlfn.XLOOKUP(D130,D131:D$1000,I131:I$1000,,0,1),0),(IFERROR(_xlfn.XLOOKUP(D130,D131:D$1000,J131:J$1000,,0,1),0)*IFERROR(_xlfn.XLOOKUP(D130,D131:D$1000,I131:I$1000,,0,1),0)-G130*H130)/I130,_xlfn.XLOOKUP(D130,D131:D$1000,J131:J$1000,,0,1))</f>
        <v>247.47175772474529</v>
      </c>
      <c r="K130" s="10" cm="1">
        <f t="array" ref="K130">IFERROR(IF(I130&lt;_xlfn.XLOOKUP(D130,D131:D$1000,I131:I$1000,,0,1),G130*H130-_xlfn.XLOOKUP(D130,D131:D$1000,J131:J$1000,,0,1)*-E130,0),0)</f>
        <v>0</v>
      </c>
      <c r="L130" s="56">
        <v>141.708</v>
      </c>
      <c r="M130" s="56">
        <v>141.197</v>
      </c>
      <c r="N130" s="59" cm="1">
        <f t="array" ref="N130">IF(I130&gt;_xlfn.XLOOKUP(D130,D131:D$1000,I131:I$1000,0,0,1),(_xlfn.XLOOKUP(D130,D131:D$1000,N131:N$1000,0,0,1)*MAX(1,L130/_xlfn.XLOOKUP(D130,D131:D$1000,L131:L$1000,L130,0,1))*_xlfn.XLOOKUP(D130,D131:D$1000,I131:I$1000,0,0,1)-G130*H130)/I130,_xlfn.XLOOKUP(D130,D131:D$1000,N131:N$1000,,0,1)*MAX(1,L130/_xlfn.XLOOKUP(D130,D131:D$1000,L131:L$1000,,0,1)))</f>
        <v>254.55252926843744</v>
      </c>
      <c r="O130" s="59" cm="1">
        <f t="array" ref="O130">IFERROR(IF(I130&lt;_xlfn.XLOOKUP(D130,D131:D$1000,I131:I$1000,,0,1),G130*H130-_xlfn.XLOOKUP(D130,D131:D$1000,N131:N$1000,,0,1)*-E130*MAX(1,M130/IFERROR(_xlfn.XLOOKUP(D130,D131:D$1000,L131:L$1000,,0,1),M130)),0),0)</f>
        <v>0</v>
      </c>
      <c r="P130" s="56" t="str" cm="1">
        <f t="array" ref="P130">IF(O130&lt;0,1,IF(E130&lt;0, _xlfn.LET(_xlpm.v_cant, ABS(E130), _xlpm.v_fecha, B130, _xlpm.v_ticker, D130, _xlpm.rango_f, B131:B$1000, _xlpm.rango_t, E131:E$1000, _xlpm.filtro, D131:D$1000=_xlpm.v_ticker, _xlpm.c_fechas, _xlfn._xlws.FILTER(_xlpm.rango_f, _xlpm.filtro*(_xlpm.rango_t&gt;0), _xlpm.v_fecha), _xlpm.c_cants, _xlfn._xlws.FILTER(_xlpm.rango_t, _xlpm.filtro*(_xlpm.rango_t&gt;0), 0), _xlpm.v_acums_pasadas, ABS(SUMIFS(E131:E$1000, D131:D$1000, _xlpm.v_ticker, E131:E$1000,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1" spans="1:16" x14ac:dyDescent="0.45">
      <c r="A131" s="3" t="s">
        <v>67</v>
      </c>
      <c r="B131" s="4">
        <f t="shared" si="2"/>
        <v>45931</v>
      </c>
      <c r="C131" s="3" t="s">
        <v>90</v>
      </c>
      <c r="D131" s="3" t="s">
        <v>156</v>
      </c>
      <c r="E131" s="3">
        <v>7</v>
      </c>
      <c r="F131" s="3">
        <v>1.3688</v>
      </c>
      <c r="G131" s="3">
        <v>-9.58</v>
      </c>
      <c r="H131" s="5">
        <v>18.3477</v>
      </c>
      <c r="I131" s="8">
        <f>SUMIF(D131:D$1000,D131,E131:E$1000)</f>
        <v>58.950970230000003</v>
      </c>
      <c r="J131" s="9" cm="1">
        <f t="array" ref="J131">IF(I131&gt;IFERROR(_xlfn.XLOOKUP(D131,D132:D$1000,I132:I$1000,,0,1),0),(IFERROR(_xlfn.XLOOKUP(D131,D132:D$1000,J132:J$1000,,0,1),0)*IFERROR(_xlfn.XLOOKUP(D131,D132:D$1000,I132:I$1000,,0,1),0)-G131*H131)/I131,_xlfn.XLOOKUP(D131,D132:D$1000,J132:J$1000,,0,1))</f>
        <v>11.606121499452716</v>
      </c>
      <c r="K131" s="10" cm="1">
        <f t="array" ref="K131">IFERROR(IF(I131&lt;_xlfn.XLOOKUP(D131,D132:D$1000,I132:I$1000,,0,1),G131*H131-_xlfn.XLOOKUP(D131,D132:D$1000,J132:J$1000,,0,1)*-E131,0),0)</f>
        <v>0</v>
      </c>
      <c r="L131" s="56">
        <v>141.708</v>
      </c>
      <c r="M131" s="56">
        <v>141.197</v>
      </c>
      <c r="N131" s="59" cm="1">
        <f t="array" ref="N131">IF(I131&gt;_xlfn.XLOOKUP(D131,D132:D$1000,I132:I$1000,0,0,1),(_xlfn.XLOOKUP(D131,D132:D$1000,N132:N$1000,0,0,1)*MAX(1,L131/_xlfn.XLOOKUP(D131,D132:D$1000,L132:L$1000,L131,0,1))*_xlfn.XLOOKUP(D131,D132:D$1000,I132:I$1000,0,0,1)-G131*H131)/I131,_xlfn.XLOOKUP(D131,D132:D$1000,N132:N$1000,,0,1)*MAX(1,L131/_xlfn.XLOOKUP(D131,D132:D$1000,L132:L$1000,,0,1)))</f>
        <v>11.656849248389245</v>
      </c>
      <c r="O131" s="59" cm="1">
        <f t="array" ref="O131">IFERROR(IF(I131&lt;_xlfn.XLOOKUP(D131,D132:D$1000,I132:I$1000,,0,1),G131*H131-_xlfn.XLOOKUP(D131,D132:D$1000,N132:N$1000,,0,1)*-E131*MAX(1,M131/IFERROR(_xlfn.XLOOKUP(D131,D132:D$1000,L132:L$1000,,0,1),M131)),0),0)</f>
        <v>0</v>
      </c>
      <c r="P131" s="56" t="str" cm="1">
        <f t="array" ref="P131">IF(O131&lt;0,1,IF(E131&lt;0, _xlfn.LET(_xlpm.v_cant, ABS(E131), _xlpm.v_fecha, B131, _xlpm.v_ticker, D131, _xlpm.rango_f, B132:B$1000, _xlpm.rango_t, E132:E$1000, _xlpm.filtro, D132:D$1000=_xlpm.v_ticker, _xlpm.c_fechas, _xlfn._xlws.FILTER(_xlpm.rango_f, _xlpm.filtro*(_xlpm.rango_t&gt;0), _xlpm.v_fecha), _xlpm.c_cants, _xlfn._xlws.FILTER(_xlpm.rango_t, _xlpm.filtro*(_xlpm.rango_t&gt;0), 0), _xlpm.v_acums_pasadas, ABS(SUMIFS(E132:E$1000, D132:D$1000, _xlpm.v_ticker, E132:E$1000,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2" spans="1:16" x14ac:dyDescent="0.45">
      <c r="A132" s="3" t="s">
        <v>67</v>
      </c>
      <c r="B132" s="4">
        <f t="shared" si="2"/>
        <v>45931</v>
      </c>
      <c r="C132" s="3" t="s">
        <v>90</v>
      </c>
      <c r="D132" s="3" t="s">
        <v>156</v>
      </c>
      <c r="E132" s="3">
        <v>0.28375219000000002</v>
      </c>
      <c r="F132" s="3">
        <v>1.3688</v>
      </c>
      <c r="G132" s="3">
        <v>-0.41</v>
      </c>
      <c r="H132" s="5">
        <v>18.3477</v>
      </c>
      <c r="I132" s="8">
        <f>SUMIF(D132:D$1000,D132,E132:E$1000)</f>
        <v>51.950970230000003</v>
      </c>
      <c r="J132" s="9" cm="1">
        <f t="array" ref="J132">IF(I132&gt;IFERROR(_xlfn.XLOOKUP(D132,D133:D$1000,I133:I$1000,,0,1),0),(IFERROR(_xlfn.XLOOKUP(D132,D133:D$1000,J133:J$1000,,0,1),0)*IFERROR(_xlfn.XLOOKUP(D132,D133:D$1000,I133:I$1000,,0,1),0)-G132*H132)/I132,_xlfn.XLOOKUP(D132,D133:D$1000,J133:J$1000,,0,1))</f>
        <v>9.7865574935192114</v>
      </c>
      <c r="K132" s="10" cm="1">
        <f t="array" ref="K132">IFERROR(IF(I132&lt;_xlfn.XLOOKUP(D132,D133:D$1000,I133:I$1000,,0,1),G132*H132-_xlfn.XLOOKUP(D132,D133:D$1000,J133:J$1000,,0,1)*-E132,0),0)</f>
        <v>0</v>
      </c>
      <c r="L132" s="56">
        <v>141.708</v>
      </c>
      <c r="M132" s="56">
        <v>141.197</v>
      </c>
      <c r="N132" s="59" cm="1">
        <f t="array" ref="N132">IF(I132&gt;_xlfn.XLOOKUP(D132,D133:D$1000,I133:I$1000,0,0,1),(_xlfn.XLOOKUP(D132,D133:D$1000,N133:N$1000,0,0,1)*MAX(1,L132/_xlfn.XLOOKUP(D132,D133:D$1000,L133:L$1000,L132,0,1))*_xlfn.XLOOKUP(D132,D133:D$1000,I133:I$1000,0,0,1)-G132*H132)/I132,_xlfn.XLOOKUP(D132,D133:D$1000,N133:N$1000,,0,1)*MAX(1,L132/_xlfn.XLOOKUP(D132,D133:D$1000,L133:L$1000,,0,1)))</f>
        <v>9.844120422645517</v>
      </c>
      <c r="O132" s="59" cm="1">
        <f t="array" ref="O132">IFERROR(IF(I132&lt;_xlfn.XLOOKUP(D132,D133:D$1000,I133:I$1000,,0,1),G132*H132-_xlfn.XLOOKUP(D132,D133:D$1000,N133:N$1000,,0,1)*-E132*MAX(1,M132/IFERROR(_xlfn.XLOOKUP(D132,D133:D$1000,L133:L$1000,,0,1),M132)),0),0)</f>
        <v>0</v>
      </c>
      <c r="P132" s="56" t="str" cm="1">
        <f t="array" ref="P132">IF(O132&lt;0,1,IF(E132&lt;0, _xlfn.LET(_xlpm.v_cant, ABS(E132), _xlpm.v_fecha, B132, _xlpm.v_ticker, D132, _xlpm.rango_f, B133:B$1000, _xlpm.rango_t, E133:E$1000, _xlpm.filtro, D133:D$1000=_xlpm.v_ticker, _xlpm.c_fechas, _xlfn._xlws.FILTER(_xlpm.rango_f, _xlpm.filtro*(_xlpm.rango_t&gt;0), _xlpm.v_fecha), _xlpm.c_cants, _xlfn._xlws.FILTER(_xlpm.rango_t, _xlpm.filtro*(_xlpm.rango_t&gt;0), 0), _xlpm.v_acums_pasadas, ABS(SUMIFS(E133:E$1000, D133:D$1000, _xlpm.v_ticker, E133:E$1000,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3" spans="1:16" x14ac:dyDescent="0.45">
      <c r="A133" s="3" t="s">
        <v>72</v>
      </c>
      <c r="B133" s="4">
        <f t="shared" si="2"/>
        <v>45925</v>
      </c>
      <c r="C133" s="3" t="s">
        <v>90</v>
      </c>
      <c r="D133" s="3" t="s">
        <v>203</v>
      </c>
      <c r="E133" s="3">
        <v>1</v>
      </c>
      <c r="F133" s="3">
        <v>10.9261</v>
      </c>
      <c r="G133" s="3">
        <v>-10.93</v>
      </c>
      <c r="H133" s="5">
        <v>18.445699999999999</v>
      </c>
      <c r="I133" s="8">
        <f>SUMIF(D133:D$1000,D133,E133:E$1000)</f>
        <v>1.1532019600000001</v>
      </c>
      <c r="J133" s="9" cm="1">
        <f t="array" ref="J133">IF(I133&gt;IFERROR(_xlfn.XLOOKUP(D133,D134:D$1000,I134:I$1000,,0,1),0),(IFERROR(_xlfn.XLOOKUP(D133,D134:D$1000,J134:J$1000,,0,1),0)*IFERROR(_xlfn.XLOOKUP(D133,D134:D$1000,I134:I$1000,,0,1),0)-G133*H133)/I133,_xlfn.XLOOKUP(D133,D134:D$1000,J134:J$1000,,0,1))</f>
        <v>202.01941991149576</v>
      </c>
      <c r="K133" s="10" cm="1">
        <f t="array" ref="K133">IFERROR(IF(I133&lt;_xlfn.XLOOKUP(D133,D134:D$1000,I134:I$1000,,0,1),G133*H133-_xlfn.XLOOKUP(D133,D134:D$1000,J134:J$1000,,0,1)*-E133,0),0)</f>
        <v>0</v>
      </c>
      <c r="L133" s="56">
        <v>141.197</v>
      </c>
      <c r="M133" s="56">
        <v>140.86699999999999</v>
      </c>
      <c r="N133" s="59" cm="1">
        <f t="array" ref="N133">IF(I133&gt;_xlfn.XLOOKUP(D133,D134:D$1000,I134:I$1000,0,0,1),(_xlfn.XLOOKUP(D133,D134:D$1000,N134:N$1000,0,0,1)*MAX(1,L133/_xlfn.XLOOKUP(D133,D134:D$1000,L134:L$1000,L133,0,1))*_xlfn.XLOOKUP(D133,D134:D$1000,I134:I$1000,0,0,1)-G133*H133)/I133,_xlfn.XLOOKUP(D133,D134:D$1000,N134:N$1000,,0,1)*MAX(1,L133/_xlfn.XLOOKUP(D133,D134:D$1000,L134:L$1000,,0,1)))</f>
        <v>202.01941991149576</v>
      </c>
      <c r="O133" s="59" cm="1">
        <f t="array" ref="O133">IFERROR(IF(I133&lt;_xlfn.XLOOKUP(D133,D134:D$1000,I134:I$1000,,0,1),G133*H133-_xlfn.XLOOKUP(D133,D134:D$1000,N134:N$1000,,0,1)*-E133*MAX(1,M133/IFERROR(_xlfn.XLOOKUP(D133,D134:D$1000,L134:L$1000,,0,1),M133)),0),0)</f>
        <v>0</v>
      </c>
      <c r="P133" s="56" t="str" cm="1">
        <f t="array" ref="P133">IF(O133&lt;0,1,IF(E133&lt;0, _xlfn.LET(_xlpm.v_cant, ABS(E133), _xlpm.v_fecha, B133, _xlpm.v_ticker, D133, _xlpm.rango_f, B134:B$1000, _xlpm.rango_t, E134:E$1000, _xlpm.filtro, D134:D$1000=_xlpm.v_ticker, _xlpm.c_fechas, _xlfn._xlws.FILTER(_xlpm.rango_f, _xlpm.filtro*(_xlpm.rango_t&gt;0), _xlpm.v_fecha), _xlpm.c_cants, _xlfn._xlws.FILTER(_xlpm.rango_t, _xlpm.filtro*(_xlpm.rango_t&gt;0), 0), _xlpm.v_acums_pasadas, ABS(SUMIFS(E134:E$1000, D134:D$1000, _xlpm.v_ticker, E134:E$1000,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4" spans="1:16" x14ac:dyDescent="0.45">
      <c r="A134" s="3" t="s">
        <v>72</v>
      </c>
      <c r="B134" s="4">
        <f t="shared" si="2"/>
        <v>45925</v>
      </c>
      <c r="C134" s="3" t="s">
        <v>90</v>
      </c>
      <c r="D134" s="3" t="s">
        <v>203</v>
      </c>
      <c r="E134" s="3">
        <v>0.15320196</v>
      </c>
      <c r="F134" s="3">
        <v>10.9261</v>
      </c>
      <c r="G134" s="3">
        <v>-1.7</v>
      </c>
      <c r="H134" s="5">
        <v>18.445699999999999</v>
      </c>
      <c r="I134" s="8">
        <f>SUMIF(D134:D$1000,D134,E134:E$1000)</f>
        <v>0.15320196</v>
      </c>
      <c r="J134" s="9" cm="1">
        <f t="array" ref="J134">IF(I134&gt;IFERROR(_xlfn.XLOOKUP(D134,D135:D$1000,I135:I$1000,,0,1),0),(IFERROR(_xlfn.XLOOKUP(D134,D135:D$1000,J135:J$1000,,0,1),0)*IFERROR(_xlfn.XLOOKUP(D134,D135:D$1000,I135:I$1000,,0,1),0)-G134*H134)/I134,_xlfn.XLOOKUP(D134,D135:D$1000,J135:J$1000,,0,1))</f>
        <v>204.68204192687872</v>
      </c>
      <c r="K134" s="10" cm="1">
        <f t="array" ref="K134">IFERROR(IF(I134&lt;_xlfn.XLOOKUP(D134,D135:D$1000,I135:I$1000,,0,1),G134*H134-_xlfn.XLOOKUP(D134,D135:D$1000,J135:J$1000,,0,1)*-E134,0),0)</f>
        <v>0</v>
      </c>
      <c r="L134" s="56">
        <v>141.197</v>
      </c>
      <c r="M134" s="56">
        <v>140.86699999999999</v>
      </c>
      <c r="N134" s="59" cm="1">
        <f t="array" ref="N134">IF(I134&gt;_xlfn.XLOOKUP(D134,D135:D$1000,I135:I$1000,0,0,1),(_xlfn.XLOOKUP(D134,D135:D$1000,N135:N$1000,0,0,1)*MAX(1,L134/_xlfn.XLOOKUP(D134,D135:D$1000,L135:L$1000,L134,0,1))*_xlfn.XLOOKUP(D134,D135:D$1000,I135:I$1000,0,0,1)-G134*H134)/I134,_xlfn.XLOOKUP(D134,D135:D$1000,N135:N$1000,,0,1)*MAX(1,L134/_xlfn.XLOOKUP(D134,D135:D$1000,L135:L$1000,,0,1)))</f>
        <v>204.68204192687872</v>
      </c>
      <c r="O134" s="59" cm="1">
        <f t="array" ref="O134">IFERROR(IF(I134&lt;_xlfn.XLOOKUP(D134,D135:D$1000,I135:I$1000,,0,1),G134*H134-_xlfn.XLOOKUP(D134,D135:D$1000,N135:N$1000,,0,1)*-E134*MAX(1,M134/IFERROR(_xlfn.XLOOKUP(D134,D135:D$1000,L135:L$1000,,0,1),M134)),0),0)</f>
        <v>0</v>
      </c>
      <c r="P134" s="56" t="str" cm="1">
        <f t="array" ref="P134">IF(O134&lt;0,1,IF(E134&lt;0, _xlfn.LET(_xlpm.v_cant, ABS(E134), _xlpm.v_fecha, B134, _xlpm.v_ticker, D134, _xlpm.rango_f, B135:B$1000, _xlpm.rango_t, E135:E$1000, _xlpm.filtro, D135:D$1000=_xlpm.v_ticker, _xlpm.c_fechas, _xlfn._xlws.FILTER(_xlpm.rango_f, _xlpm.filtro*(_xlpm.rango_t&gt;0), _xlpm.v_fecha), _xlpm.c_cants, _xlfn._xlws.FILTER(_xlpm.rango_t, _xlpm.filtro*(_xlpm.rango_t&gt;0), 0), _xlpm.v_acums_pasadas, ABS(SUMIFS(E135:E$1000, D135:D$1000, _xlpm.v_ticker, E135:E$1000,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5" spans="1:16" x14ac:dyDescent="0.45">
      <c r="A135" s="3" t="s">
        <v>37</v>
      </c>
      <c r="B135" s="4">
        <f t="shared" si="2"/>
        <v>45894</v>
      </c>
      <c r="C135" s="3" t="s">
        <v>90</v>
      </c>
      <c r="D135" s="3" t="s">
        <v>159</v>
      </c>
      <c r="E135" s="3">
        <v>0.44521518999999998</v>
      </c>
      <c r="F135" s="3">
        <v>33.848799999999997</v>
      </c>
      <c r="G135" s="3">
        <v>-15.1</v>
      </c>
      <c r="H135" s="5">
        <v>18.636800000000001</v>
      </c>
      <c r="I135" s="8">
        <f>SUMIF(D135:D$1000,D135,E135:E$1000)</f>
        <v>0.44521518999999998</v>
      </c>
      <c r="J135" s="9" cm="1">
        <f t="array" ref="J135">IF(I135&gt;IFERROR(_xlfn.XLOOKUP(D135,D136:D$1000,I136:I$1000,,0,1),0),(IFERROR(_xlfn.XLOOKUP(D135,D136:D$1000,J136:J$1000,,0,1),0)*IFERROR(_xlfn.XLOOKUP(D135,D136:D$1000,I136:I$1000,,0,1),0)-G135*H135)/I135,_xlfn.XLOOKUP(D135,D136:D$1000,J136:J$1000,,0,1))</f>
        <v>632.08912526097777</v>
      </c>
      <c r="K135" s="10" cm="1">
        <f t="array" ref="K135">IFERROR(IF(I135&lt;_xlfn.XLOOKUP(D135,D136:D$1000,I136:I$1000,,0,1),G135*H135-_xlfn.XLOOKUP(D135,D136:D$1000,J136:J$1000,,0,1)*-E135,0),0)</f>
        <v>0</v>
      </c>
      <c r="L135" s="56">
        <v>140.86699999999999</v>
      </c>
      <c r="M135" s="56">
        <v>140.78</v>
      </c>
      <c r="N135" s="59" cm="1">
        <f t="array" ref="N135">IF(I135&gt;_xlfn.XLOOKUP(D135,D136:D$1000,I136:I$1000,0,0,1),(_xlfn.XLOOKUP(D135,D136:D$1000,N136:N$1000,0,0,1)*MAX(1,L135/_xlfn.XLOOKUP(D135,D136:D$1000,L136:L$1000,L135,0,1))*_xlfn.XLOOKUP(D135,D136:D$1000,I136:I$1000,0,0,1)-G135*H135)/I135,_xlfn.XLOOKUP(D135,D136:D$1000,N136:N$1000,,0,1)*MAX(1,L135/_xlfn.XLOOKUP(D135,D136:D$1000,L136:L$1000,,0,1)))</f>
        <v>632.08912526097777</v>
      </c>
      <c r="O135" s="59" cm="1">
        <f t="array" ref="O135">IFERROR(IF(I135&lt;_xlfn.XLOOKUP(D135,D136:D$1000,I136:I$1000,,0,1),G135*H135-_xlfn.XLOOKUP(D135,D136:D$1000,N136:N$1000,,0,1)*-E135*MAX(1,M135/IFERROR(_xlfn.XLOOKUP(D135,D136:D$1000,L136:L$1000,,0,1),M135)),0),0)</f>
        <v>0</v>
      </c>
      <c r="P135" s="56" t="str" cm="1">
        <f t="array" ref="P135">IF(O135&lt;0,1,IF(E135&lt;0, _xlfn.LET(_xlpm.v_cant, ABS(E135), _xlpm.v_fecha, B135, _xlpm.v_ticker, D135, _xlpm.rango_f, B136:B$1000, _xlpm.rango_t, E136:E$1000, _xlpm.filtro, D136:D$1000=_xlpm.v_ticker, _xlpm.c_fechas, _xlfn._xlws.FILTER(_xlpm.rango_f, _xlpm.filtro*(_xlpm.rango_t&gt;0), _xlpm.v_fecha), _xlpm.c_cants, _xlfn._xlws.FILTER(_xlpm.rango_t, _xlpm.filtro*(_xlpm.rango_t&gt;0), 0), _xlpm.v_acums_pasadas, ABS(SUMIFS(E136:E$1000, D136:D$1000, _xlpm.v_ticker, E136:E$1000,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36" spans="1:16" x14ac:dyDescent="0.45">
      <c r="A136" s="3" t="s">
        <v>36</v>
      </c>
      <c r="B136" s="4">
        <f t="shared" si="2"/>
        <v>45884</v>
      </c>
      <c r="C136" s="3" t="s">
        <v>91</v>
      </c>
      <c r="D136" s="3" t="s">
        <v>124</v>
      </c>
      <c r="E136" s="3">
        <v>-1</v>
      </c>
      <c r="F136" s="3">
        <v>7.1311999999999998</v>
      </c>
      <c r="G136" s="3">
        <v>7.13</v>
      </c>
      <c r="H136" s="5">
        <v>18.729500000000002</v>
      </c>
      <c r="I136" s="8">
        <f>SUMIF(D136:D$1000,D136,E136:E$1000)</f>
        <v>5.0459805100000006</v>
      </c>
      <c r="J136" s="9" cm="1">
        <f t="array" ref="J136">IF(I136&gt;IFERROR(_xlfn.XLOOKUP(D136,D137:D$1000,I137:I$1000,,0,1),0),(IFERROR(_xlfn.XLOOKUP(D136,D137:D$1000,J137:J$1000,,0,1),0)*IFERROR(_xlfn.XLOOKUP(D136,D137:D$1000,I137:I$1000,,0,1),0)-G136*H136)/I136,_xlfn.XLOOKUP(D136,D137:D$1000,J137:J$1000,,0,1))</f>
        <v>62.123647684680961</v>
      </c>
      <c r="K136" s="10" cm="1">
        <f t="array" ref="K136">IFERROR(IF(I136&lt;_xlfn.XLOOKUP(D136,D137:D$1000,I137:I$1000,,0,1),G136*H136-_xlfn.XLOOKUP(D136,D137:D$1000,J137:J$1000,,0,1)*-E136,0),0)</f>
        <v>71.417687315319043</v>
      </c>
      <c r="L136" s="56">
        <v>140.86699999999999</v>
      </c>
      <c r="M136" s="56">
        <v>140.78</v>
      </c>
      <c r="N136" s="59" cm="1">
        <f t="array" ref="N136">IF(I136&gt;_xlfn.XLOOKUP(D136,D137:D$1000,I137:I$1000,0,0,1),(_xlfn.XLOOKUP(D136,D137:D$1000,N137:N$1000,0,0,1)*MAX(1,L136/_xlfn.XLOOKUP(D136,D137:D$1000,L137:L$1000,L136,0,1))*_xlfn.XLOOKUP(D136,D137:D$1000,I137:I$1000,0,0,1)-G136*H136)/I136,_xlfn.XLOOKUP(D136,D137:D$1000,N137:N$1000,,0,1)*MAX(1,L136/_xlfn.XLOOKUP(D136,D137:D$1000,L137:L$1000,,0,1)))</f>
        <v>63.437733353615833</v>
      </c>
      <c r="O136" s="59" cm="1">
        <f t="array" ref="O136">IFERROR(IF(I136&lt;_xlfn.XLOOKUP(D136,D137:D$1000,I137:I$1000,,0,1),G136*H136-_xlfn.XLOOKUP(D136,D137:D$1000,N137:N$1000,,0,1)*-E136*MAX(1,M136/IFERROR(_xlfn.XLOOKUP(D136,D137:D$1000,L137:L$1000,,0,1),M136)),0),0)</f>
        <v>70.103601646384163</v>
      </c>
      <c r="P136" s="56" cm="1">
        <f t="array" ref="P136">IF(O136&lt;0,1,IF(E136&lt;0, _xlfn.LET(_xlpm.v_cant, ABS(E136), _xlpm.v_fecha, B136, _xlpm.v_ticker, D136, _xlpm.rango_f, B137:B$1000, _xlpm.rango_t, E137:E$1000, _xlpm.filtro, D137:D$1000=_xlpm.v_ticker, _xlpm.c_fechas, _xlfn._xlws.FILTER(_xlpm.rango_f, _xlpm.filtro*(_xlpm.rango_t&gt;0), _xlpm.v_fecha), _xlpm.c_cants, _xlfn._xlws.FILTER(_xlpm.rango_t, _xlpm.filtro*(_xlpm.rango_t&gt;0), 0), _xlpm.v_acums_pasadas, ABS(SUMIFS(E137:E$1000, D137:D$1000, _xlpm.v_ticker, E137:E$1000,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37" spans="1:16" x14ac:dyDescent="0.45">
      <c r="A137" s="3" t="s">
        <v>36</v>
      </c>
      <c r="B137" s="4">
        <f t="shared" si="2"/>
        <v>45884</v>
      </c>
      <c r="C137" s="3" t="s">
        <v>91</v>
      </c>
      <c r="D137" s="3" t="s">
        <v>124</v>
      </c>
      <c r="E137" s="3">
        <v>-0.69256225999999999</v>
      </c>
      <c r="F137" s="3">
        <v>7.1311999999999998</v>
      </c>
      <c r="G137" s="3">
        <v>4.91</v>
      </c>
      <c r="H137" s="5">
        <v>18.729500000000002</v>
      </c>
      <c r="I137" s="8">
        <f>SUMIF(D137:D$1000,D137,E137:E$1000)</f>
        <v>6.0459805100000006</v>
      </c>
      <c r="J137" s="9" cm="1">
        <f t="array" ref="J137">IF(I137&gt;IFERROR(_xlfn.XLOOKUP(D137,D138:D$1000,I138:I$1000,,0,1),0),(IFERROR(_xlfn.XLOOKUP(D137,D138:D$1000,J138:J$1000,,0,1),0)*IFERROR(_xlfn.XLOOKUP(D137,D138:D$1000,I138:I$1000,,0,1),0)-G137*H137)/I137,_xlfn.XLOOKUP(D137,D138:D$1000,J138:J$1000,,0,1))</f>
        <v>62.123647684680961</v>
      </c>
      <c r="K137" s="10" cm="1">
        <f t="array" ref="K137">IFERROR(IF(I137&lt;_xlfn.XLOOKUP(D137,D138:D$1000,I138:I$1000,,0,1),G137*H137-_xlfn.XLOOKUP(D137,D138:D$1000,J138:J$1000,,0,1)*-E137,0),0)</f>
        <v>48.937351160053595</v>
      </c>
      <c r="L137" s="56">
        <v>140.86699999999999</v>
      </c>
      <c r="M137" s="56">
        <v>140.78</v>
      </c>
      <c r="N137" s="59" cm="1">
        <f t="array" ref="N137">IF(I137&gt;_xlfn.XLOOKUP(D137,D138:D$1000,I138:I$1000,0,0,1),(_xlfn.XLOOKUP(D137,D138:D$1000,N138:N$1000,0,0,1)*MAX(1,L137/_xlfn.XLOOKUP(D137,D138:D$1000,L138:L$1000,L137,0,1))*_xlfn.XLOOKUP(D137,D138:D$1000,I138:I$1000,0,0,1)-G137*H137)/I137,_xlfn.XLOOKUP(D137,D138:D$1000,N138:N$1000,,0,1)*MAX(1,L137/_xlfn.XLOOKUP(D137,D138:D$1000,L138:L$1000,,0,1)))</f>
        <v>63.437733353615833</v>
      </c>
      <c r="O137" s="59" cm="1">
        <f t="array" ref="O137">IFERROR(IF(I137&lt;_xlfn.XLOOKUP(D137,D138:D$1000,I138:I$1000,,0,1),G137*H137-_xlfn.XLOOKUP(D137,D138:D$1000,N138:N$1000,,0,1)*-E137*MAX(1,M137/IFERROR(_xlfn.XLOOKUP(D137,D138:D$1000,L138:L$1000,,0,1),M137)),0),0)</f>
        <v>48.054399184606964</v>
      </c>
      <c r="P137" s="56" cm="1">
        <f t="array" ref="P137">IF(O137&lt;0,1,IF(E137&lt;0, _xlfn.LET(_xlpm.v_cant, ABS(E137), _xlpm.v_fecha, B137, _xlpm.v_ticker, D137, _xlpm.rango_f, B138:B$1000, _xlpm.rango_t, E138:E$1000, _xlpm.filtro, D138:D$1000=_xlpm.v_ticker, _xlpm.c_fechas, _xlfn._xlws.FILTER(_xlpm.rango_f, _xlpm.filtro*(_xlpm.rango_t&gt;0), _xlpm.v_fecha), _xlpm.c_cants, _xlfn._xlws.FILTER(_xlpm.rango_t, _xlpm.filtro*(_xlpm.rango_t&gt;0), 0), _xlpm.v_acums_pasadas, ABS(SUMIFS(E138:E$1000, D138:D$1000, _xlpm.v_ticker, E138:E$1000,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38" spans="1:16" x14ac:dyDescent="0.45">
      <c r="A138" s="3" t="s">
        <v>35</v>
      </c>
      <c r="B138" s="4">
        <f t="shared" si="2"/>
        <v>45881</v>
      </c>
      <c r="C138" s="3" t="s">
        <v>91</v>
      </c>
      <c r="D138" s="3" t="s">
        <v>153</v>
      </c>
      <c r="E138" s="3">
        <v>-1</v>
      </c>
      <c r="F138" s="3">
        <v>4.0312000000000001</v>
      </c>
      <c r="G138" s="3">
        <v>4.03</v>
      </c>
      <c r="H138" s="5">
        <v>18.5657</v>
      </c>
      <c r="I138" s="8">
        <f>SUMIF(D138:D$1000,D138,E138:E$1000)</f>
        <v>3.1980600000001136E-3</v>
      </c>
      <c r="J138" s="9" cm="1">
        <f t="array" ref="J138">IF(I138&gt;IFERROR(_xlfn.XLOOKUP(D138,D139:D$1000,I139:I$1000,,0,1),0),(IFERROR(_xlfn.XLOOKUP(D138,D139:D$1000,J139:J$1000,,0,1),0)*IFERROR(_xlfn.XLOOKUP(D138,D139:D$1000,I139:I$1000,,0,1),0)-G138*H138)/I138,_xlfn.XLOOKUP(D138,D139:D$1000,J139:J$1000,,0,1))</f>
        <v>52.243583763589726</v>
      </c>
      <c r="K138" s="10" cm="1">
        <f t="array" ref="K138">IFERROR(IF(I138&lt;_xlfn.XLOOKUP(D138,D139:D$1000,I139:I$1000,,0,1),G138*H138-_xlfn.XLOOKUP(D138,D139:D$1000,J139:J$1000,,0,1)*-E138,0),0)</f>
        <v>22.576187236410277</v>
      </c>
      <c r="L138" s="56">
        <v>140.86699999999999</v>
      </c>
      <c r="M138" s="56">
        <v>140.78</v>
      </c>
      <c r="N138" s="59" cm="1">
        <f t="array" ref="N138">IF(I138&gt;_xlfn.XLOOKUP(D138,D139:D$1000,I139:I$1000,0,0,1),(_xlfn.XLOOKUP(D138,D139:D$1000,N139:N$1000,0,0,1)*MAX(1,L138/_xlfn.XLOOKUP(D138,D139:D$1000,L139:L$1000,L138,0,1))*_xlfn.XLOOKUP(D138,D139:D$1000,I139:I$1000,0,0,1)-G138*H138)/I138,_xlfn.XLOOKUP(D138,D139:D$1000,N139:N$1000,,0,1)*MAX(1,L138/_xlfn.XLOOKUP(D138,D139:D$1000,L139:L$1000,,0,1)))</f>
        <v>53.049874674001941</v>
      </c>
      <c r="O138" s="59" cm="1">
        <f t="array" ref="O138">IFERROR(IF(I138&lt;_xlfn.XLOOKUP(D138,D139:D$1000,I139:I$1000,,0,1),G138*H138-_xlfn.XLOOKUP(D138,D139:D$1000,N139:N$1000,,0,1)*-E138*MAX(1,M138/IFERROR(_xlfn.XLOOKUP(D138,D139:D$1000,L139:L$1000,,0,1),M138)),0),0)</f>
        <v>21.769896325998062</v>
      </c>
      <c r="P138" s="56" cm="1">
        <f t="array" ref="P138">IF(O138&lt;0,1,IF(E138&lt;0, _xlfn.LET(_xlpm.v_cant, ABS(E138), _xlpm.v_fecha, B138, _xlpm.v_ticker, D138, _xlpm.rango_f, B139:B$1000, _xlpm.rango_t, E139:E$1000, _xlpm.filtro, D139:D$1000=_xlpm.v_ticker, _xlpm.c_fechas, _xlfn._xlws.FILTER(_xlpm.rango_f, _xlpm.filtro*(_xlpm.rango_t&gt;0), _xlpm.v_fecha), _xlpm.c_cants, _xlfn._xlws.FILTER(_xlpm.rango_t, _xlpm.filtro*(_xlpm.rango_t&gt;0), 0), _xlpm.v_acums_pasadas, ABS(SUMIFS(E139:E$1000, D139:D$1000, _xlpm.v_ticker, E139:E$1000,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39" spans="1:16" x14ac:dyDescent="0.45">
      <c r="A139" s="3" t="s">
        <v>35</v>
      </c>
      <c r="B139" s="4">
        <f t="shared" si="2"/>
        <v>45881</v>
      </c>
      <c r="C139" s="3" t="s">
        <v>91</v>
      </c>
      <c r="D139" s="3" t="s">
        <v>153</v>
      </c>
      <c r="E139" s="3">
        <v>-0.89273665000000002</v>
      </c>
      <c r="F139" s="3">
        <v>4.0312000000000001</v>
      </c>
      <c r="G139" s="3">
        <v>3.59</v>
      </c>
      <c r="H139" s="5">
        <v>18.5657</v>
      </c>
      <c r="I139" s="8">
        <f>SUMIF(D139:D$1000,D139,E139:E$1000)</f>
        <v>1.0031980600000001</v>
      </c>
      <c r="J139" s="9" cm="1">
        <f t="array" ref="J139">IF(I139&gt;IFERROR(_xlfn.XLOOKUP(D139,D140:D$1000,I140:I$1000,,0,1),0),(IFERROR(_xlfn.XLOOKUP(D139,D140:D$1000,J140:J$1000,,0,1),0)*IFERROR(_xlfn.XLOOKUP(D139,D140:D$1000,I140:I$1000,,0,1),0)-G139*H139)/I139,_xlfn.XLOOKUP(D139,D140:D$1000,J140:J$1000,,0,1))</f>
        <v>52.243583763589726</v>
      </c>
      <c r="K139" s="10" cm="1">
        <f t="array" ref="K139">IFERROR(IF(I139&lt;_xlfn.XLOOKUP(D139,D140:D$1000,I140:I$1000,,0,1),G139*H139-_xlfn.XLOOKUP(D139,D140:D$1000,J140:J$1000,,0,1)*-E139,0),0)</f>
        <v>20.011101046898517</v>
      </c>
      <c r="L139" s="56">
        <v>140.86699999999999</v>
      </c>
      <c r="M139" s="56">
        <v>140.78</v>
      </c>
      <c r="N139" s="59" cm="1">
        <f t="array" ref="N139">IF(I139&gt;_xlfn.XLOOKUP(D139,D140:D$1000,I140:I$1000,0,0,1),(_xlfn.XLOOKUP(D139,D140:D$1000,N140:N$1000,0,0,1)*MAX(1,L139/_xlfn.XLOOKUP(D139,D140:D$1000,L140:L$1000,L139,0,1))*_xlfn.XLOOKUP(D139,D140:D$1000,I140:I$1000,0,0,1)-G139*H139)/I139,_xlfn.XLOOKUP(D139,D140:D$1000,N140:N$1000,,0,1)*MAX(1,L139/_xlfn.XLOOKUP(D139,D140:D$1000,L140:L$1000,,0,1)))</f>
        <v>53.049874674001941</v>
      </c>
      <c r="O139" s="59" cm="1">
        <f t="array" ref="O139">IFERROR(IF(I139&lt;_xlfn.XLOOKUP(D139,D140:D$1000,I140:I$1000,,0,1),G139*H139-_xlfn.XLOOKUP(D139,D140:D$1000,N140:N$1000,,0,1)*-E139*MAX(1,M139/IFERROR(_xlfn.XLOOKUP(D139,D140:D$1000,L140:L$1000,,0,1),M139)),0),0)</f>
        <v>19.291295600611662</v>
      </c>
      <c r="P139" s="56" cm="1">
        <f t="array" ref="P139">IF(O139&lt;0,1,IF(E139&lt;0, _xlfn.LET(_xlpm.v_cant, ABS(E139), _xlpm.v_fecha, B139, _xlpm.v_ticker, D139, _xlpm.rango_f, B140:B$1000, _xlpm.rango_t, E140:E$1000, _xlpm.filtro, D140:D$1000=_xlpm.v_ticker, _xlpm.c_fechas, _xlfn._xlws.FILTER(_xlpm.rango_f, _xlpm.filtro*(_xlpm.rango_t&gt;0), _xlpm.v_fecha), _xlpm.c_cants, _xlfn._xlws.FILTER(_xlpm.rango_t, _xlpm.filtro*(_xlpm.rango_t&gt;0), 0), _xlpm.v_acums_pasadas, ABS(SUMIFS(E140:E$1000, D140:D$1000, _xlpm.v_ticker, E140:E$1000,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40" spans="1:16" x14ac:dyDescent="0.45">
      <c r="A140" s="3" t="s">
        <v>35</v>
      </c>
      <c r="B140" s="4">
        <f t="shared" si="2"/>
        <v>45881</v>
      </c>
      <c r="C140" s="3" t="s">
        <v>91</v>
      </c>
      <c r="D140" s="3" t="s">
        <v>97</v>
      </c>
      <c r="E140" s="3">
        <v>-0.18887414</v>
      </c>
      <c r="F140" s="3">
        <v>53.051200000000001</v>
      </c>
      <c r="G140" s="3">
        <v>10</v>
      </c>
      <c r="H140" s="5">
        <v>18.5657</v>
      </c>
      <c r="I140" s="8">
        <f>SUMIF(D140:D$1000,D140,E140:E$1000)</f>
        <v>11.640802969999999</v>
      </c>
      <c r="J140" s="9" cm="1">
        <f t="array" ref="J140">IF(I140&gt;IFERROR(_xlfn.XLOOKUP(D140,D141:D$1000,I141:I$1000,,0,1),0),(IFERROR(_xlfn.XLOOKUP(D140,D141:D$1000,J141:J$1000,,0,1),0)*IFERROR(_xlfn.XLOOKUP(D140,D141:D$1000,I141:I$1000,,0,1),0)-G140*H140)/I140,_xlfn.XLOOKUP(D140,D141:D$1000,J141:J$1000,,0,1))</f>
        <v>235.81229090706773</v>
      </c>
      <c r="K140" s="10" cm="1">
        <f t="array" ref="K140">IFERROR(IF(I140&lt;_xlfn.XLOOKUP(D140,D141:D$1000,I141:I$1000,,0,1),G140*H140-_xlfn.XLOOKUP(D140,D141:D$1000,J141:J$1000,,0,1)*-E140,0),0)</f>
        <v>141.11815635349774</v>
      </c>
      <c r="L140" s="56">
        <v>140.86699999999999</v>
      </c>
      <c r="M140" s="56">
        <v>140.78</v>
      </c>
      <c r="N140" s="59" cm="1">
        <f t="array" ref="N140">IF(I140&gt;_xlfn.XLOOKUP(D140,D141:D$1000,I141:I$1000,0,0,1),(_xlfn.XLOOKUP(D140,D141:D$1000,N141:N$1000,0,0,1)*MAX(1,L140/_xlfn.XLOOKUP(D140,D141:D$1000,L141:L$1000,L140,0,1))*_xlfn.XLOOKUP(D140,D141:D$1000,I141:I$1000,0,0,1)-G140*H140)/I140,_xlfn.XLOOKUP(D140,D141:D$1000,N141:N$1000,,0,1)*MAX(1,L140/_xlfn.XLOOKUP(D140,D141:D$1000,L141:L$1000,,0,1)))</f>
        <v>241.56778102785034</v>
      </c>
      <c r="O140" s="59" cm="1">
        <f t="array" ref="O140">IFERROR(IF(I140&lt;_xlfn.XLOOKUP(D140,D141:D$1000,I141:I$1000,,0,1),G140*H140-_xlfn.XLOOKUP(D140,D141:D$1000,N141:N$1000,,0,1)*-E140*MAX(1,M140/IFERROR(_xlfn.XLOOKUP(D140,D141:D$1000,L141:L$1000,,0,1),M140)),0),0)</f>
        <v>140.05927184191535</v>
      </c>
      <c r="P140" s="56" cm="1">
        <f t="array" ref="P140">IF(O140&lt;0,1,IF(E140&lt;0, _xlfn.LET(_xlpm.v_cant, ABS(E140), _xlpm.v_fecha, B140, _xlpm.v_ticker, D140, _xlpm.rango_f, B141:B$1000, _xlpm.rango_t, E141:E$1000, _xlpm.filtro, D141:D$1000=_xlpm.v_ticker, _xlpm.c_fechas, _xlfn._xlws.FILTER(_xlpm.rango_f, _xlpm.filtro*(_xlpm.rango_t&gt;0), _xlpm.v_fecha), _xlpm.c_cants, _xlfn._xlws.FILTER(_xlpm.rango_t, _xlpm.filtro*(_xlpm.rango_t&gt;0), 0), _xlpm.v_acums_pasadas, ABS(SUMIFS(E141:E$1000, D141:D$1000, _xlpm.v_ticker, E141:E$1000,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41" spans="1:16" x14ac:dyDescent="0.45">
      <c r="A141" s="3" t="s">
        <v>35</v>
      </c>
      <c r="B141" s="4">
        <f t="shared" si="2"/>
        <v>45881</v>
      </c>
      <c r="C141" s="3" t="s">
        <v>90</v>
      </c>
      <c r="D141" s="3" t="s">
        <v>157</v>
      </c>
      <c r="E141" s="3">
        <v>0.40293476</v>
      </c>
      <c r="F141" s="3">
        <v>50.43</v>
      </c>
      <c r="G141" s="3">
        <v>-20.37</v>
      </c>
      <c r="H141" s="5">
        <v>18.5657</v>
      </c>
      <c r="I141" s="8">
        <f>SUMIF(D141:D$1000,D141,E141:E$1000)</f>
        <v>0.40293476</v>
      </c>
      <c r="J141" s="9" cm="1">
        <f t="array" ref="J141">IF(I141&gt;IFERROR(_xlfn.XLOOKUP(D141,D142:D$1000,I142:I$1000,,0,1),0),(IFERROR(_xlfn.XLOOKUP(D141,D142:D$1000,J142:J$1000,,0,1),0)*IFERROR(_xlfn.XLOOKUP(D141,D142:D$1000,I142:I$1000,,0,1),0)-G141*H141)/I141,_xlfn.XLOOKUP(D141,D142:D$1000,J142:J$1000,,0,1))</f>
        <v>938.57206313002132</v>
      </c>
      <c r="K141" s="10" cm="1">
        <f t="array" ref="K141">IFERROR(IF(I141&lt;_xlfn.XLOOKUP(D141,D142:D$1000,I142:I$1000,,0,1),G141*H141-_xlfn.XLOOKUP(D141,D142:D$1000,J142:J$1000,,0,1)*-E141,0),0)</f>
        <v>0</v>
      </c>
      <c r="L141" s="56">
        <v>140.86699999999999</v>
      </c>
      <c r="M141" s="56">
        <v>140.78</v>
      </c>
      <c r="N141" s="59" cm="1">
        <f t="array" ref="N141">IF(I141&gt;_xlfn.XLOOKUP(D141,D142:D$1000,I142:I$1000,0,0,1),(_xlfn.XLOOKUP(D141,D142:D$1000,N142:N$1000,0,0,1)*MAX(1,L141/_xlfn.XLOOKUP(D141,D142:D$1000,L142:L$1000,L141,0,1))*_xlfn.XLOOKUP(D141,D142:D$1000,I142:I$1000,0,0,1)-G141*H141)/I141,_xlfn.XLOOKUP(D141,D142:D$1000,N142:N$1000,,0,1)*MAX(1,L141/_xlfn.XLOOKUP(D141,D142:D$1000,L142:L$1000,,0,1)))</f>
        <v>938.57206313002132</v>
      </c>
      <c r="O141" s="59" cm="1">
        <f t="array" ref="O141">IFERROR(IF(I141&lt;_xlfn.XLOOKUP(D141,D142:D$1000,I142:I$1000,,0,1),G141*H141-_xlfn.XLOOKUP(D141,D142:D$1000,N142:N$1000,,0,1)*-E141*MAX(1,M141/IFERROR(_xlfn.XLOOKUP(D141,D142:D$1000,L142:L$1000,,0,1),M141)),0),0)</f>
        <v>0</v>
      </c>
      <c r="P141" s="56" t="str" cm="1">
        <f t="array" ref="P141">IF(O141&lt;0,1,IF(E141&lt;0, _xlfn.LET(_xlpm.v_cant, ABS(E141), _xlpm.v_fecha, B141, _xlpm.v_ticker, D141, _xlpm.rango_f, B142:B$1000, _xlpm.rango_t, E142:E$1000, _xlpm.filtro, D142:D$1000=_xlpm.v_ticker, _xlpm.c_fechas, _xlfn._xlws.FILTER(_xlpm.rango_f, _xlpm.filtro*(_xlpm.rango_t&gt;0), _xlpm.v_fecha), _xlpm.c_cants, _xlfn._xlws.FILTER(_xlpm.rango_t, _xlpm.filtro*(_xlpm.rango_t&gt;0), 0), _xlpm.v_acums_pasadas, ABS(SUMIFS(E142:E$1000, D142:D$1000, _xlpm.v_ticker, E142:E$1000,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42" spans="1:16" x14ac:dyDescent="0.45">
      <c r="A142" s="3" t="s">
        <v>34</v>
      </c>
      <c r="B142" s="4">
        <f t="shared" si="2"/>
        <v>45877</v>
      </c>
      <c r="C142" s="3" t="s">
        <v>91</v>
      </c>
      <c r="D142" s="3" t="s">
        <v>155</v>
      </c>
      <c r="E142" s="3">
        <v>-0.16456513</v>
      </c>
      <c r="F142" s="3">
        <v>22.301200000000001</v>
      </c>
      <c r="G142" s="3">
        <v>3.66</v>
      </c>
      <c r="H142" s="5">
        <v>18.5518</v>
      </c>
      <c r="I142" s="8">
        <f>SUMIF(D142:D$1000,D142,E142:E$1000)</f>
        <v>6.6979999999994266E-5</v>
      </c>
      <c r="J142" s="9" cm="1">
        <f t="array" ref="J142">IF(I142&gt;IFERROR(_xlfn.XLOOKUP(D142,D143:D$1000,I143:I$1000,,0,1),0),(IFERROR(_xlfn.XLOOKUP(D142,D143:D$1000,J143:J$1000,,0,1),0)*IFERROR(_xlfn.XLOOKUP(D142,D143:D$1000,I143:I$1000,,0,1),0)-G142*H142)/I142,_xlfn.XLOOKUP(D142,D143:D$1000,J143:J$1000,,0,1))</f>
        <v>432.99141947460913</v>
      </c>
      <c r="K142" s="10" cm="1">
        <f t="array" ref="K142">IFERROR(IF(I142&lt;_xlfn.XLOOKUP(D142,D143:D$1000,I143:I$1000,,0,1),G142*H142-_xlfn.XLOOKUP(D142,D143:D$1000,J143:J$1000,,0,1)*-E142,0),0)</f>
        <v>-3.3557012347235826</v>
      </c>
      <c r="L142" s="56">
        <v>140.86699999999999</v>
      </c>
      <c r="M142" s="56">
        <v>140.78</v>
      </c>
      <c r="N142" s="59" cm="1">
        <f t="array" ref="N142">IF(I142&gt;_xlfn.XLOOKUP(D142,D143:D$1000,I143:I$1000,0,0,1),(_xlfn.XLOOKUP(D142,D143:D$1000,N143:N$1000,0,0,1)*MAX(1,L142/_xlfn.XLOOKUP(D142,D143:D$1000,L143:L$1000,L142,0,1))*_xlfn.XLOOKUP(D142,D143:D$1000,I143:I$1000,0,0,1)-G142*H142)/I142,_xlfn.XLOOKUP(D142,D143:D$1000,N143:N$1000,,0,1)*MAX(1,L142/_xlfn.XLOOKUP(D142,D143:D$1000,L143:L$1000,,0,1)))</f>
        <v>434.41616956041281</v>
      </c>
      <c r="O142" s="59" cm="1">
        <f t="array" ref="O142">IFERROR(IF(I142&lt;_xlfn.XLOOKUP(D142,D143:D$1000,I143:I$1000,,0,1),G142*H142-_xlfn.XLOOKUP(D142,D143:D$1000,N143:N$1000,,0,1)*-E142*MAX(1,M142/IFERROR(_xlfn.XLOOKUP(D142,D143:D$1000,L143:L$1000,,0,1),M142)),0),0)</f>
        <v>-3.5460130716455041</v>
      </c>
      <c r="P142" s="56" cm="1">
        <f t="array" ref="P142">IF(O142&lt;0,1,IF(E142&lt;0, _xlfn.LET(_xlpm.v_cant, ABS(E142), _xlpm.v_fecha, B142, _xlpm.v_ticker, D142, _xlpm.rango_f, B143:B$1000, _xlpm.rango_t, E143:E$1000, _xlpm.filtro, D143:D$1000=_xlpm.v_ticker, _xlpm.c_fechas, _xlfn._xlws.FILTER(_xlpm.rango_f, _xlpm.filtro*(_xlpm.rango_t&gt;0), _xlpm.v_fecha), _xlpm.c_cants, _xlfn._xlws.FILTER(_xlpm.rango_t, _xlpm.filtro*(_xlpm.rango_t&gt;0), 0), _xlpm.v_acums_pasadas, ABS(SUMIFS(E143:E$1000, D143:D$1000, _xlpm.v_ticker, E143:E$1000,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43" spans="1:16" x14ac:dyDescent="0.45">
      <c r="A143" s="3" t="s">
        <v>34</v>
      </c>
      <c r="B143" s="4">
        <f t="shared" si="2"/>
        <v>45877</v>
      </c>
      <c r="C143" s="3" t="s">
        <v>91</v>
      </c>
      <c r="D143" s="3" t="s">
        <v>120</v>
      </c>
      <c r="E143" s="3">
        <v>-8.9949429999999997E-2</v>
      </c>
      <c r="F143" s="3">
        <v>89.161199999999994</v>
      </c>
      <c r="G143" s="3">
        <v>8</v>
      </c>
      <c r="H143" s="5">
        <v>18.5518</v>
      </c>
      <c r="I143" s="8">
        <f>SUMIF(D143:D$1000,D143,E143:E$1000)</f>
        <v>0.26913321000000001</v>
      </c>
      <c r="J143" s="9" cm="1">
        <f t="array" ref="J143">IF(I143&gt;IFERROR(_xlfn.XLOOKUP(D143,D144:D$1000,I144:I$1000,,0,1),0),(IFERROR(_xlfn.XLOOKUP(D143,D144:D$1000,J144:J$1000,,0,1),0)*IFERROR(_xlfn.XLOOKUP(D143,D144:D$1000,I144:I$1000,,0,1),0)-G143*H143)/I143,_xlfn.XLOOKUP(D143,D144:D$1000,J144:J$1000,,0,1))</f>
        <v>1939.4070066990705</v>
      </c>
      <c r="K143" s="10" cm="1">
        <f t="array" ref="K143">IFERROR(IF(I143&lt;_xlfn.XLOOKUP(D143,D144:D$1000,I144:I$1000,,0,1),G143*H143-_xlfn.XLOOKUP(D143,D144:D$1000,J144:J$1000,,0,1)*-E143,0),0)</f>
        <v>-26.034154790587564</v>
      </c>
      <c r="L143" s="56">
        <v>140.86699999999999</v>
      </c>
      <c r="M143" s="56">
        <v>140.78</v>
      </c>
      <c r="N143" s="59" cm="1">
        <f t="array" ref="N143">IF(I143&gt;_xlfn.XLOOKUP(D143,D144:D$1000,I144:I$1000,0,0,1),(_xlfn.XLOOKUP(D143,D144:D$1000,N144:N$1000,0,0,1)*MAX(1,L143/_xlfn.XLOOKUP(D143,D144:D$1000,L144:L$1000,L143,0,1))*_xlfn.XLOOKUP(D143,D144:D$1000,I144:I$1000,0,0,1)-G143*H143)/I143,_xlfn.XLOOKUP(D143,D144:D$1000,N144:N$1000,,0,1)*MAX(1,L143/_xlfn.XLOOKUP(D143,D144:D$1000,L144:L$1000,,0,1)))</f>
        <v>1987.9966149484658</v>
      </c>
      <c r="O143" s="59" cm="1">
        <f t="array" ref="O143">IFERROR(IF(I143&lt;_xlfn.XLOOKUP(D143,D144:D$1000,I144:I$1000,,0,1),G143*H143-_xlfn.XLOOKUP(D143,D144:D$1000,N144:N$1000,,0,1)*-E143*MAX(1,M143/IFERROR(_xlfn.XLOOKUP(D143,D144:D$1000,L144:L$1000,,0,1),M143)),0),0)</f>
        <v>-30.294322955371086</v>
      </c>
      <c r="P143" s="56" cm="1">
        <f t="array" ref="P143">IF(O143&lt;0,1,IF(E143&lt;0, _xlfn.LET(_xlpm.v_cant, ABS(E143), _xlpm.v_fecha, B143, _xlpm.v_ticker, D143, _xlpm.rango_f, B144:B$1000, _xlpm.rango_t, E144:E$1000, _xlpm.filtro, D144:D$1000=_xlpm.v_ticker, _xlpm.c_fechas, _xlfn._xlws.FILTER(_xlpm.rango_f, _xlpm.filtro*(_xlpm.rango_t&gt;0), _xlpm.v_fecha), _xlpm.c_cants, _xlfn._xlws.FILTER(_xlpm.rango_t, _xlpm.filtro*(_xlpm.rango_t&gt;0), 0), _xlpm.v_acums_pasadas, ABS(SUMIFS(E144:E$1000, D144:D$1000, _xlpm.v_ticker, E144:E$1000,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44" spans="1:16" x14ac:dyDescent="0.45">
      <c r="A144" s="3" t="s">
        <v>34</v>
      </c>
      <c r="B144" s="4">
        <f t="shared" si="2"/>
        <v>45877</v>
      </c>
      <c r="C144" s="3" t="s">
        <v>90</v>
      </c>
      <c r="D144" s="3" t="s">
        <v>156</v>
      </c>
      <c r="E144" s="3">
        <v>36</v>
      </c>
      <c r="F144" s="3">
        <v>0.52139999999999997</v>
      </c>
      <c r="G144" s="3">
        <v>-18.77</v>
      </c>
      <c r="H144" s="5">
        <v>18.5518</v>
      </c>
      <c r="I144" s="8">
        <f>SUMIF(D144:D$1000,D144,E144:E$1000)</f>
        <v>51.667218040000002</v>
      </c>
      <c r="J144" s="9" cm="1">
        <f t="array" ref="J144">IF(I144&gt;IFERROR(_xlfn.XLOOKUP(D144,D145:D$1000,I145:I$1000,,0,1),0),(IFERROR(_xlfn.XLOOKUP(D144,D145:D$1000,J145:J$1000,,0,1),0)*IFERROR(_xlfn.XLOOKUP(D144,D145:D$1000,I145:I$1000,,0,1),0)-G144*H144)/I144,_xlfn.XLOOKUP(D144,D145:D$1000,J145:J$1000,,0,1))</f>
        <v>9.694708153479672</v>
      </c>
      <c r="K144" s="10" cm="1">
        <f t="array" ref="K144">IFERROR(IF(I144&lt;_xlfn.XLOOKUP(D144,D145:D$1000,I145:I$1000,,0,1),G144*H144-_xlfn.XLOOKUP(D144,D145:D$1000,J145:J$1000,,0,1)*-E144,0),0)</f>
        <v>0</v>
      </c>
      <c r="L144" s="56">
        <v>140.86699999999999</v>
      </c>
      <c r="M144" s="56">
        <v>140.78</v>
      </c>
      <c r="N144" s="59" cm="1">
        <f t="array" ref="N144">IF(I144&gt;_xlfn.XLOOKUP(D144,D145:D$1000,I145:I$1000,0,0,1),(_xlfn.XLOOKUP(D144,D145:D$1000,N145:N$1000,0,0,1)*MAX(1,L144/_xlfn.XLOOKUP(D144,D145:D$1000,L145:L$1000,L144,0,1))*_xlfn.XLOOKUP(D144,D145:D$1000,I145:I$1000,0,0,1)-G144*H144)/I144,_xlfn.XLOOKUP(D144,D145:D$1000,N145:N$1000,,0,1)*MAX(1,L144/_xlfn.XLOOKUP(D144,D145:D$1000,L145:L$1000,,0,1)))</f>
        <v>9.694708153479672</v>
      </c>
      <c r="O144" s="59" cm="1">
        <f t="array" ref="O144">IFERROR(IF(I144&lt;_xlfn.XLOOKUP(D144,D145:D$1000,I145:I$1000,,0,1),G144*H144-_xlfn.XLOOKUP(D144,D145:D$1000,N145:N$1000,,0,1)*-E144*MAX(1,M144/IFERROR(_xlfn.XLOOKUP(D144,D145:D$1000,L145:L$1000,,0,1),M144)),0),0)</f>
        <v>0</v>
      </c>
      <c r="P144" s="56" t="str" cm="1">
        <f t="array" ref="P144">IF(O144&lt;0,1,IF(E144&lt;0, _xlfn.LET(_xlpm.v_cant, ABS(E144), _xlpm.v_fecha, B144, _xlpm.v_ticker, D144, _xlpm.rango_f, B145:B$1000, _xlpm.rango_t, E145:E$1000, _xlpm.filtro, D145:D$1000=_xlpm.v_ticker, _xlpm.c_fechas, _xlfn._xlws.FILTER(_xlpm.rango_f, _xlpm.filtro*(_xlpm.rango_t&gt;0), _xlpm.v_fecha), _xlpm.c_cants, _xlfn._xlws.FILTER(_xlpm.rango_t, _xlpm.filtro*(_xlpm.rango_t&gt;0), 0), _xlpm.v_acums_pasadas, ABS(SUMIFS(E145:E$1000, D145:D$1000, _xlpm.v_ticker, E145:E$1000,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45" spans="1:16" x14ac:dyDescent="0.45">
      <c r="A145" s="3" t="s">
        <v>34</v>
      </c>
      <c r="B145" s="4">
        <f t="shared" si="2"/>
        <v>45877</v>
      </c>
      <c r="C145" s="3" t="s">
        <v>90</v>
      </c>
      <c r="D145" s="3" t="s">
        <v>156</v>
      </c>
      <c r="E145" s="3">
        <v>0.36363635999999999</v>
      </c>
      <c r="F145" s="3">
        <v>0.52139999999999997</v>
      </c>
      <c r="G145" s="3">
        <v>-0.23</v>
      </c>
      <c r="H145" s="5">
        <v>18.5518</v>
      </c>
      <c r="I145" s="8">
        <f>SUMIF(D145:D$1000,D145,E145:E$1000)</f>
        <v>15.66721804</v>
      </c>
      <c r="J145" s="9" cm="1">
        <f t="array" ref="J145">IF(I145&gt;IFERROR(_xlfn.XLOOKUP(D145,D146:D$1000,I146:I$1000,,0,1),0),(IFERROR(_xlfn.XLOOKUP(D145,D146:D$1000,J146:J$1000,,0,1),0)*IFERROR(_xlfn.XLOOKUP(D145,D146:D$1000,I146:I$1000,,0,1),0)-G145*H145)/I145,_xlfn.XLOOKUP(D145,D146:D$1000,J146:J$1000,,0,1))</f>
        <v>9.7452728116880145</v>
      </c>
      <c r="K145" s="10" cm="1">
        <f t="array" ref="K145">IFERROR(IF(I145&lt;_xlfn.XLOOKUP(D145,D146:D$1000,I146:I$1000,,0,1),G145*H145-_xlfn.XLOOKUP(D145,D146:D$1000,J146:J$1000,,0,1)*-E145,0),0)</f>
        <v>0</v>
      </c>
      <c r="L145" s="56">
        <v>140.86699999999999</v>
      </c>
      <c r="M145" s="56">
        <v>140.78</v>
      </c>
      <c r="N145" s="59" cm="1">
        <f t="array" ref="N145">IF(I145&gt;_xlfn.XLOOKUP(D145,D146:D$1000,I146:I$1000,0,0,1),(_xlfn.XLOOKUP(D145,D146:D$1000,N146:N$1000,0,0,1)*MAX(1,L145/_xlfn.XLOOKUP(D145,D146:D$1000,L146:L$1000,L145,0,1))*_xlfn.XLOOKUP(D145,D146:D$1000,I146:I$1000,0,0,1)-G145*H145)/I145,_xlfn.XLOOKUP(D145,D146:D$1000,N146:N$1000,,0,1)*MAX(1,L145/_xlfn.XLOOKUP(D145,D146:D$1000,L146:L$1000,,0,1)))</f>
        <v>9.7452728116880145</v>
      </c>
      <c r="O145" s="59" cm="1">
        <f t="array" ref="O145">IFERROR(IF(I145&lt;_xlfn.XLOOKUP(D145,D146:D$1000,I146:I$1000,,0,1),G145*H145-_xlfn.XLOOKUP(D145,D146:D$1000,N146:N$1000,,0,1)*-E145*MAX(1,M145/IFERROR(_xlfn.XLOOKUP(D145,D146:D$1000,L146:L$1000,,0,1),M145)),0),0)</f>
        <v>0</v>
      </c>
      <c r="P145" s="56" t="str" cm="1">
        <f t="array" ref="P145">IF(O145&lt;0,1,IF(E145&lt;0, _xlfn.LET(_xlpm.v_cant, ABS(E145), _xlpm.v_fecha, B145, _xlpm.v_ticker, D145, _xlpm.rango_f, B146:B$1000, _xlpm.rango_t, E146:E$1000, _xlpm.filtro, D146:D$1000=_xlpm.v_ticker, _xlpm.c_fechas, _xlfn._xlws.FILTER(_xlpm.rango_f, _xlpm.filtro*(_xlpm.rango_t&gt;0), _xlpm.v_fecha), _xlpm.c_cants, _xlfn._xlws.FILTER(_xlpm.rango_t, _xlpm.filtro*(_xlpm.rango_t&gt;0), 0), _xlpm.v_acums_pasadas, ABS(SUMIFS(E146:E$1000, D146:D$1000, _xlpm.v_ticker, E146:E$1000,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46" spans="1:16" x14ac:dyDescent="0.45">
      <c r="A146" s="3" t="s">
        <v>34</v>
      </c>
      <c r="B146" s="4">
        <f t="shared" si="2"/>
        <v>45877</v>
      </c>
      <c r="C146" s="3" t="s">
        <v>90</v>
      </c>
      <c r="D146" s="3" t="s">
        <v>156</v>
      </c>
      <c r="E146" s="3">
        <v>15</v>
      </c>
      <c r="F146" s="3">
        <v>0.52210000000000001</v>
      </c>
      <c r="G146" s="3">
        <v>-7.83</v>
      </c>
      <c r="H146" s="5">
        <v>18.5518</v>
      </c>
      <c r="I146" s="8">
        <f>SUMIF(D146:D$1000,D146,E146:E$1000)</f>
        <v>15.303581680000001</v>
      </c>
      <c r="J146" s="9" cm="1">
        <f t="array" ref="J146">IF(I146&gt;IFERROR(_xlfn.XLOOKUP(D146,D147:D$1000,I147:I$1000,,0,1),0),(IFERROR(_xlfn.XLOOKUP(D146,D147:D$1000,J147:J$1000,,0,1),0)*IFERROR(_xlfn.XLOOKUP(D146,D147:D$1000,I147:I$1000,,0,1),0)-G146*H146)/I146,_xlfn.XLOOKUP(D146,D147:D$1000,J147:J$1000,,0,1))</f>
        <v>9.6980173075405176</v>
      </c>
      <c r="K146" s="10" cm="1">
        <f t="array" ref="K146">IFERROR(IF(I146&lt;_xlfn.XLOOKUP(D146,D147:D$1000,I147:I$1000,,0,1),G146*H146-_xlfn.XLOOKUP(D146,D147:D$1000,J147:J$1000,,0,1)*-E146,0),0)</f>
        <v>0</v>
      </c>
      <c r="L146" s="56">
        <v>140.86699999999999</v>
      </c>
      <c r="M146" s="56">
        <v>140.78</v>
      </c>
      <c r="N146" s="59" cm="1">
        <f t="array" ref="N146">IF(I146&gt;_xlfn.XLOOKUP(D146,D147:D$1000,I147:I$1000,0,0,1),(_xlfn.XLOOKUP(D146,D147:D$1000,N147:N$1000,0,0,1)*MAX(1,L146/_xlfn.XLOOKUP(D146,D147:D$1000,L147:L$1000,L146,0,1))*_xlfn.XLOOKUP(D146,D147:D$1000,I147:I$1000,0,0,1)-G146*H146)/I146,_xlfn.XLOOKUP(D146,D147:D$1000,N147:N$1000,,0,1)*MAX(1,L146/_xlfn.XLOOKUP(D146,D147:D$1000,L147:L$1000,,0,1)))</f>
        <v>9.6980173075405176</v>
      </c>
      <c r="O146" s="59" cm="1">
        <f t="array" ref="O146">IFERROR(IF(I146&lt;_xlfn.XLOOKUP(D146,D147:D$1000,I147:I$1000,,0,1),G146*H146-_xlfn.XLOOKUP(D146,D147:D$1000,N147:N$1000,,0,1)*-E146*MAX(1,M146/IFERROR(_xlfn.XLOOKUP(D146,D147:D$1000,L147:L$1000,,0,1),M146)),0),0)</f>
        <v>0</v>
      </c>
      <c r="P146" s="56" t="str" cm="1">
        <f t="array" ref="P146">IF(O146&lt;0,1,IF(E146&lt;0, _xlfn.LET(_xlpm.v_cant, ABS(E146), _xlpm.v_fecha, B146, _xlpm.v_ticker, D146, _xlpm.rango_f, B147:B$1000, _xlpm.rango_t, E147:E$1000, _xlpm.filtro, D147:D$1000=_xlpm.v_ticker, _xlpm.c_fechas, _xlfn._xlws.FILTER(_xlpm.rango_f, _xlpm.filtro*(_xlpm.rango_t&gt;0), _xlpm.v_fecha), _xlpm.c_cants, _xlfn._xlws.FILTER(_xlpm.rango_t, _xlpm.filtro*(_xlpm.rango_t&gt;0), 0), _xlpm.v_acums_pasadas, ABS(SUMIFS(E147:E$1000, D147:D$1000, _xlpm.v_ticker, E147:E$1000,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47" spans="1:16" x14ac:dyDescent="0.45">
      <c r="A147" s="3" t="s">
        <v>34</v>
      </c>
      <c r="B147" s="4">
        <f t="shared" si="2"/>
        <v>45877</v>
      </c>
      <c r="C147" s="3" t="s">
        <v>90</v>
      </c>
      <c r="D147" s="3" t="s">
        <v>156</v>
      </c>
      <c r="E147" s="3">
        <v>0.30358168000000002</v>
      </c>
      <c r="F147" s="3">
        <v>0.52210000000000001</v>
      </c>
      <c r="G147" s="3">
        <v>-0.17</v>
      </c>
      <c r="H147" s="5">
        <v>18.5518</v>
      </c>
      <c r="I147" s="8">
        <f>SUMIF(D147:D$1000,D147,E147:E$1000)</f>
        <v>0.30358168000000002</v>
      </c>
      <c r="J147" s="9" cm="1">
        <f t="array" ref="J147">IF(I147&gt;IFERROR(_xlfn.XLOOKUP(D147,D148:D$1000,I148:I$1000,,0,1),0),(IFERROR(_xlfn.XLOOKUP(D147,D148:D$1000,J148:J$1000,,0,1),0)*IFERROR(_xlfn.XLOOKUP(D147,D148:D$1000,I148:I$1000,,0,1),0)-G147*H147)/I147,_xlfn.XLOOKUP(D147,D148:D$1000,J148:J$1000,,0,1))</f>
        <v>10.388657181157967</v>
      </c>
      <c r="K147" s="10" cm="1">
        <f t="array" ref="K147">IFERROR(IF(I147&lt;_xlfn.XLOOKUP(D147,D148:D$1000,I148:I$1000,,0,1),G147*H147-_xlfn.XLOOKUP(D147,D148:D$1000,J148:J$1000,,0,1)*-E147,0),0)</f>
        <v>0</v>
      </c>
      <c r="L147" s="56">
        <v>140.86699999999999</v>
      </c>
      <c r="M147" s="56">
        <v>140.78</v>
      </c>
      <c r="N147" s="59" cm="1">
        <f t="array" ref="N147">IF(I147&gt;_xlfn.XLOOKUP(D147,D148:D$1000,I148:I$1000,0,0,1),(_xlfn.XLOOKUP(D147,D148:D$1000,N148:N$1000,0,0,1)*MAX(1,L147/_xlfn.XLOOKUP(D147,D148:D$1000,L148:L$1000,L147,0,1))*_xlfn.XLOOKUP(D147,D148:D$1000,I148:I$1000,0,0,1)-G147*H147)/I147,_xlfn.XLOOKUP(D147,D148:D$1000,N148:N$1000,,0,1)*MAX(1,L147/_xlfn.XLOOKUP(D147,D148:D$1000,L148:L$1000,,0,1)))</f>
        <v>10.388657181157967</v>
      </c>
      <c r="O147" s="59" cm="1">
        <f t="array" ref="O147">IFERROR(IF(I147&lt;_xlfn.XLOOKUP(D147,D148:D$1000,I148:I$1000,,0,1),G147*H147-_xlfn.XLOOKUP(D147,D148:D$1000,N148:N$1000,,0,1)*-E147*MAX(1,M147/IFERROR(_xlfn.XLOOKUP(D147,D148:D$1000,L148:L$1000,,0,1),M147)),0),0)</f>
        <v>0</v>
      </c>
      <c r="P147" s="56" t="str" cm="1">
        <f t="array" ref="P147">IF(O147&lt;0,1,IF(E147&lt;0, _xlfn.LET(_xlpm.v_cant, ABS(E147), _xlpm.v_fecha, B147, _xlpm.v_ticker, D147, _xlpm.rango_f, B148:B$1000, _xlpm.rango_t, E148:E$1000, _xlpm.filtro, D148:D$1000=_xlpm.v_ticker, _xlpm.c_fechas, _xlfn._xlws.FILTER(_xlpm.rango_f, _xlpm.filtro*(_xlpm.rango_t&gt;0), _xlpm.v_fecha), _xlpm.c_cants, _xlfn._xlws.FILTER(_xlpm.rango_t, _xlpm.filtro*(_xlpm.rango_t&gt;0), 0), _xlpm.v_acums_pasadas, ABS(SUMIFS(E148:E$1000, D148:D$1000, _xlpm.v_ticker, E148:E$1000,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48" spans="1:16" x14ac:dyDescent="0.45">
      <c r="A148" s="3" t="s">
        <v>33</v>
      </c>
      <c r="B148" s="4">
        <f t="shared" si="2"/>
        <v>45874</v>
      </c>
      <c r="C148" s="3" t="s">
        <v>91</v>
      </c>
      <c r="D148" s="3" t="s">
        <v>153</v>
      </c>
      <c r="E148" s="3">
        <v>-1</v>
      </c>
      <c r="F148" s="3">
        <v>4.7211999999999996</v>
      </c>
      <c r="G148" s="3">
        <v>4.72</v>
      </c>
      <c r="H148" s="5">
        <v>18.762</v>
      </c>
      <c r="I148" s="8">
        <f>SUMIF(D148:D$1000,D148,E148:E$1000)</f>
        <v>1.8959347099999999</v>
      </c>
      <c r="J148" s="9" cm="1">
        <f t="array" ref="J148">IF(I148&gt;IFERROR(_xlfn.XLOOKUP(D148,D149:D$1000,I149:I$1000,,0,1),0),(IFERROR(_xlfn.XLOOKUP(D148,D149:D$1000,J149:J$1000,,0,1),0)*IFERROR(_xlfn.XLOOKUP(D148,D149:D$1000,I149:I$1000,,0,1),0)-G148*H148)/I148,_xlfn.XLOOKUP(D148,D149:D$1000,J149:J$1000,,0,1))</f>
        <v>52.243583763589726</v>
      </c>
      <c r="K148" s="10" cm="1">
        <f t="array" ref="K148">IFERROR(IF(I148&lt;_xlfn.XLOOKUP(D148,D149:D$1000,I149:I$1000,,0,1),G148*H148-_xlfn.XLOOKUP(D148,D149:D$1000,J149:J$1000,,0,1)*-E148,0),0)</f>
        <v>36.313056236410276</v>
      </c>
      <c r="L148" s="56">
        <v>140.86699999999999</v>
      </c>
      <c r="M148" s="56">
        <v>140.78</v>
      </c>
      <c r="N148" s="59" cm="1">
        <f t="array" ref="N148">IF(I148&gt;_xlfn.XLOOKUP(D148,D149:D$1000,I149:I$1000,0,0,1),(_xlfn.XLOOKUP(D148,D149:D$1000,N149:N$1000,0,0,1)*MAX(1,L148/_xlfn.XLOOKUP(D148,D149:D$1000,L149:L$1000,L148,0,1))*_xlfn.XLOOKUP(D148,D149:D$1000,I149:I$1000,0,0,1)-G148*H148)/I148,_xlfn.XLOOKUP(D148,D149:D$1000,N149:N$1000,,0,1)*MAX(1,L148/_xlfn.XLOOKUP(D148,D149:D$1000,L149:L$1000,,0,1)))</f>
        <v>53.049874674001941</v>
      </c>
      <c r="O148" s="59" cm="1">
        <f t="array" ref="O148">IFERROR(IF(I148&lt;_xlfn.XLOOKUP(D148,D149:D$1000,I149:I$1000,,0,1),G148*H148-_xlfn.XLOOKUP(D148,D149:D$1000,N149:N$1000,,0,1)*-E148*MAX(1,M148/IFERROR(_xlfn.XLOOKUP(D148,D149:D$1000,L149:L$1000,,0,1),M148)),0),0)</f>
        <v>35.50676532599806</v>
      </c>
      <c r="P148" s="56" cm="1">
        <f t="array" ref="P148">IF(O148&lt;0,1,IF(E148&lt;0, _xlfn.LET(_xlpm.v_cant, ABS(E148), _xlpm.v_fecha, B148, _xlpm.v_ticker, D148, _xlpm.rango_f, B149:B$1000, _xlpm.rango_t, E149:E$1000, _xlpm.filtro, D149:D$1000=_xlpm.v_ticker, _xlpm.c_fechas, _xlfn._xlws.FILTER(_xlpm.rango_f, _xlpm.filtro*(_xlpm.rango_t&gt;0), _xlpm.v_fecha), _xlpm.c_cants, _xlfn._xlws.FILTER(_xlpm.rango_t, _xlpm.filtro*(_xlpm.rango_t&gt;0), 0), _xlpm.v_acums_pasadas, ABS(SUMIFS(E149:E$1000, D149:D$1000, _xlpm.v_ticker, E149:E$1000,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49" spans="1:16" x14ac:dyDescent="0.45">
      <c r="A149" s="3" t="s">
        <v>33</v>
      </c>
      <c r="B149" s="4">
        <f t="shared" si="2"/>
        <v>45874</v>
      </c>
      <c r="C149" s="3" t="s">
        <v>91</v>
      </c>
      <c r="D149" s="3" t="s">
        <v>153</v>
      </c>
      <c r="E149" s="3">
        <v>-0.90841311000000002</v>
      </c>
      <c r="F149" s="3">
        <v>4.7211999999999996</v>
      </c>
      <c r="G149" s="3">
        <v>4.2699999999999996</v>
      </c>
      <c r="H149" s="5">
        <v>18.762</v>
      </c>
      <c r="I149" s="8">
        <f>SUMIF(D149:D$1000,D149,E149:E$1000)</f>
        <v>2.8959347099999997</v>
      </c>
      <c r="J149" s="9" cm="1">
        <f t="array" ref="J149">IF(I149&gt;IFERROR(_xlfn.XLOOKUP(D149,D150:D$1000,I150:I$1000,,0,1),0),(IFERROR(_xlfn.XLOOKUP(D149,D150:D$1000,J150:J$1000,,0,1),0)*IFERROR(_xlfn.XLOOKUP(D149,D150:D$1000,I150:I$1000,,0,1),0)-G149*H149)/I149,_xlfn.XLOOKUP(D149,D150:D$1000,J150:J$1000,,0,1))</f>
        <v>52.243583763589726</v>
      </c>
      <c r="K149" s="10" cm="1">
        <f t="array" ref="K149">IFERROR(IF(I149&lt;_xlfn.XLOOKUP(D149,D150:D$1000,I150:I$1000,,0,1),G149*H149-_xlfn.XLOOKUP(D149,D150:D$1000,J150:J$1000,,0,1)*-E149,0),0)</f>
        <v>32.654983595771945</v>
      </c>
      <c r="L149" s="56">
        <v>140.86699999999999</v>
      </c>
      <c r="M149" s="56">
        <v>140.78</v>
      </c>
      <c r="N149" s="59" cm="1">
        <f t="array" ref="N149">IF(I149&gt;_xlfn.XLOOKUP(D149,D150:D$1000,I150:I$1000,0,0,1),(_xlfn.XLOOKUP(D149,D150:D$1000,N150:N$1000,0,0,1)*MAX(1,L149/_xlfn.XLOOKUP(D149,D150:D$1000,L150:L$1000,L149,0,1))*_xlfn.XLOOKUP(D149,D150:D$1000,I150:I$1000,0,0,1)-G149*H149)/I149,_xlfn.XLOOKUP(D149,D150:D$1000,N150:N$1000,,0,1)*MAX(1,L149/_xlfn.XLOOKUP(D149,D150:D$1000,L150:L$1000,,0,1)))</f>
        <v>53.049874674001941</v>
      </c>
      <c r="O149" s="59" cm="1">
        <f t="array" ref="O149">IFERROR(IF(I149&lt;_xlfn.XLOOKUP(D149,D150:D$1000,I150:I$1000,,0,1),G149*H149-_xlfn.XLOOKUP(D149,D150:D$1000,N150:N$1000,,0,1)*-E149*MAX(1,M149/IFERROR(_xlfn.XLOOKUP(D149,D150:D$1000,L150:L$1000,,0,1),M149)),0),0)</f>
        <v>31.952301433421091</v>
      </c>
      <c r="P149" s="56" cm="1">
        <f t="array" ref="P149">IF(O149&lt;0,1,IF(E149&lt;0, _xlfn.LET(_xlpm.v_cant, ABS(E149), _xlpm.v_fecha, B149, _xlpm.v_ticker, D149, _xlpm.rango_f, B150:B$1000, _xlpm.rango_t, E150:E$1000, _xlpm.filtro, D150:D$1000=_xlpm.v_ticker, _xlpm.c_fechas, _xlfn._xlws.FILTER(_xlpm.rango_f, _xlpm.filtro*(_xlpm.rango_t&gt;0), _xlpm.v_fecha), _xlpm.c_cants, _xlfn._xlws.FILTER(_xlpm.rango_t, _xlpm.filtro*(_xlpm.rango_t&gt;0), 0), _xlpm.v_acums_pasadas, ABS(SUMIFS(E150:E$1000, D150:D$1000, _xlpm.v_ticker, E150:E$1000,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50" spans="1:16" x14ac:dyDescent="0.45">
      <c r="A150" s="3" t="s">
        <v>33</v>
      </c>
      <c r="B150" s="4">
        <f t="shared" si="2"/>
        <v>45874</v>
      </c>
      <c r="C150" s="3" t="s">
        <v>90</v>
      </c>
      <c r="D150" s="3" t="s">
        <v>154</v>
      </c>
      <c r="E150" s="3">
        <v>9</v>
      </c>
      <c r="F150" s="3">
        <v>1.6950000000000001</v>
      </c>
      <c r="G150" s="3">
        <v>-15.26</v>
      </c>
      <c r="H150" s="5">
        <v>18.762</v>
      </c>
      <c r="I150" s="8">
        <f>SUMIF(D150:D$1000,D150,E150:E$1000)</f>
        <v>10</v>
      </c>
      <c r="J150" s="9" cm="1">
        <f t="array" ref="J150">IF(I150&gt;IFERROR(_xlfn.XLOOKUP(D150,D151:D$1000,I151:I$1000,,0,1),0),(IFERROR(_xlfn.XLOOKUP(D150,D151:D$1000,J151:J$1000,,0,1),0)*IFERROR(_xlfn.XLOOKUP(D150,D151:D$1000,I151:I$1000,,0,1),0)-G150*H150)/I150,_xlfn.XLOOKUP(D150,D151:D$1000,J151:J$1000,,0,1))</f>
        <v>31.876638000000003</v>
      </c>
      <c r="K150" s="10" cm="1">
        <f t="array" ref="K150">IFERROR(IF(I150&lt;_xlfn.XLOOKUP(D150,D151:D$1000,I151:I$1000,,0,1),G150*H150-_xlfn.XLOOKUP(D150,D151:D$1000,J151:J$1000,,0,1)*-E150,0),0)</f>
        <v>0</v>
      </c>
      <c r="L150" s="56">
        <v>140.86699999999999</v>
      </c>
      <c r="M150" s="56">
        <v>140.78</v>
      </c>
      <c r="N150" s="59" cm="1">
        <f t="array" ref="N150">IF(I150&gt;_xlfn.XLOOKUP(D150,D151:D$1000,I151:I$1000,0,0,1),(_xlfn.XLOOKUP(D150,D151:D$1000,N151:N$1000,0,0,1)*MAX(1,L150/_xlfn.XLOOKUP(D150,D151:D$1000,L151:L$1000,L150,0,1))*_xlfn.XLOOKUP(D150,D151:D$1000,I151:I$1000,0,0,1)-G150*H150)/I150,_xlfn.XLOOKUP(D150,D151:D$1000,N151:N$1000,,0,1)*MAX(1,L150/_xlfn.XLOOKUP(D150,D151:D$1000,L151:L$1000,,0,1)))</f>
        <v>31.876638000000003</v>
      </c>
      <c r="O150" s="59" cm="1">
        <f t="array" ref="O150">IFERROR(IF(I150&lt;_xlfn.XLOOKUP(D150,D151:D$1000,I151:I$1000,,0,1),G150*H150-_xlfn.XLOOKUP(D150,D151:D$1000,N151:N$1000,,0,1)*-E150*MAX(1,M150/IFERROR(_xlfn.XLOOKUP(D150,D151:D$1000,L151:L$1000,,0,1),M150)),0),0)</f>
        <v>0</v>
      </c>
      <c r="P150" s="56" t="str" cm="1">
        <f t="array" ref="P150">IF(O150&lt;0,1,IF(E150&lt;0, _xlfn.LET(_xlpm.v_cant, ABS(E150), _xlpm.v_fecha, B150, _xlpm.v_ticker, D150, _xlpm.rango_f, B151:B$1000, _xlpm.rango_t, E151:E$1000, _xlpm.filtro, D151:D$1000=_xlpm.v_ticker, _xlpm.c_fechas, _xlfn._xlws.FILTER(_xlpm.rango_f, _xlpm.filtro*(_xlpm.rango_t&gt;0), _xlpm.v_fecha), _xlpm.c_cants, _xlfn._xlws.FILTER(_xlpm.rango_t, _xlpm.filtro*(_xlpm.rango_t&gt;0), 0), _xlpm.v_acums_pasadas, ABS(SUMIFS(E151:E$1000, D151:D$1000, _xlpm.v_ticker, E151:E$1000,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1" spans="1:16" x14ac:dyDescent="0.45">
      <c r="A151" s="3" t="s">
        <v>33</v>
      </c>
      <c r="B151" s="4">
        <f t="shared" si="2"/>
        <v>45874</v>
      </c>
      <c r="C151" s="3" t="s">
        <v>90</v>
      </c>
      <c r="D151" s="3" t="s">
        <v>154</v>
      </c>
      <c r="E151" s="3">
        <v>1</v>
      </c>
      <c r="F151" s="3">
        <v>1.69</v>
      </c>
      <c r="G151" s="3">
        <v>-1.73</v>
      </c>
      <c r="H151" s="5">
        <v>18.762</v>
      </c>
      <c r="I151" s="8">
        <f>SUMIF(D151:D$1000,D151,E151:E$1000)</f>
        <v>1</v>
      </c>
      <c r="J151" s="9" cm="1">
        <f t="array" ref="J151">IF(I151&gt;IFERROR(_xlfn.XLOOKUP(D151,D152:D$1000,I152:I$1000,,0,1),0),(IFERROR(_xlfn.XLOOKUP(D151,D152:D$1000,J152:J$1000,,0,1),0)*IFERROR(_xlfn.XLOOKUP(D151,D152:D$1000,I152:I$1000,,0,1),0)-G151*H151)/I151,_xlfn.XLOOKUP(D151,D152:D$1000,J152:J$1000,,0,1))</f>
        <v>32.458260000000003</v>
      </c>
      <c r="K151" s="10" cm="1">
        <f t="array" ref="K151">IFERROR(IF(I151&lt;_xlfn.XLOOKUP(D151,D152:D$1000,I152:I$1000,,0,1),G151*H151-_xlfn.XLOOKUP(D151,D152:D$1000,J152:J$1000,,0,1)*-E151,0),0)</f>
        <v>0</v>
      </c>
      <c r="L151" s="56">
        <v>140.86699999999999</v>
      </c>
      <c r="M151" s="56">
        <v>140.78</v>
      </c>
      <c r="N151" s="59" cm="1">
        <f t="array" ref="N151">IF(I151&gt;_xlfn.XLOOKUP(D151,D152:D$1000,I152:I$1000,0,0,1),(_xlfn.XLOOKUP(D151,D152:D$1000,N152:N$1000,0,0,1)*MAX(1,L151/_xlfn.XLOOKUP(D151,D152:D$1000,L152:L$1000,L151,0,1))*_xlfn.XLOOKUP(D151,D152:D$1000,I152:I$1000,0,0,1)-G151*H151)/I151,_xlfn.XLOOKUP(D151,D152:D$1000,N152:N$1000,,0,1)*MAX(1,L151/_xlfn.XLOOKUP(D151,D152:D$1000,L152:L$1000,,0,1)))</f>
        <v>32.458260000000003</v>
      </c>
      <c r="O151" s="59" cm="1">
        <f t="array" ref="O151">IFERROR(IF(I151&lt;_xlfn.XLOOKUP(D151,D152:D$1000,I152:I$1000,,0,1),G151*H151-_xlfn.XLOOKUP(D151,D152:D$1000,N152:N$1000,,0,1)*-E151*MAX(1,M151/IFERROR(_xlfn.XLOOKUP(D151,D152:D$1000,L152:L$1000,,0,1),M151)),0),0)</f>
        <v>0</v>
      </c>
      <c r="P151" s="56" t="str" cm="1">
        <f t="array" ref="P151">IF(O151&lt;0,1,IF(E151&lt;0, _xlfn.LET(_xlpm.v_cant, ABS(E151), _xlpm.v_fecha, B151, _xlpm.v_ticker, D151, _xlpm.rango_f, B152:B$1000, _xlpm.rango_t, E152:E$1000, _xlpm.filtro, D152:D$1000=_xlpm.v_ticker, _xlpm.c_fechas, _xlfn._xlws.FILTER(_xlpm.rango_f, _xlpm.filtro*(_xlpm.rango_t&gt;0), _xlpm.v_fecha), _xlpm.c_cants, _xlfn._xlws.FILTER(_xlpm.rango_t, _xlpm.filtro*(_xlpm.rango_t&gt;0), 0), _xlpm.v_acums_pasadas, ABS(SUMIFS(E152:E$1000, D152:D$1000, _xlpm.v_ticker, E152:E$1000,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2" spans="1:16" x14ac:dyDescent="0.45">
      <c r="A152" s="3" t="s">
        <v>32</v>
      </c>
      <c r="B152" s="4">
        <f t="shared" si="2"/>
        <v>45873</v>
      </c>
      <c r="C152" s="3" t="s">
        <v>90</v>
      </c>
      <c r="D152" s="3" t="s">
        <v>152</v>
      </c>
      <c r="E152" s="3">
        <v>1</v>
      </c>
      <c r="F152" s="3">
        <v>14.974600000000001</v>
      </c>
      <c r="G152" s="3">
        <v>-14.97</v>
      </c>
      <c r="H152" s="5">
        <v>18.878299999999999</v>
      </c>
      <c r="I152" s="8">
        <f>SUMIF(D152:D$1000,D152,E152:E$1000)</f>
        <v>1.1986964499999999</v>
      </c>
      <c r="J152" s="9" cm="1">
        <f t="array" ref="J152">IF(I152&gt;IFERROR(_xlfn.XLOOKUP(D152,D153:D$1000,I153:I$1000,,0,1),0),(IFERROR(_xlfn.XLOOKUP(D152,D153:D$1000,J153:J$1000,,0,1),0)*IFERROR(_xlfn.XLOOKUP(D152,D153:D$1000,I153:I$1000,,0,1),0)-G152*H152)/I152,_xlfn.XLOOKUP(D152,D153:D$1000,J153:J$1000,,0,1))</f>
        <v>283.32495437022448</v>
      </c>
      <c r="K152" s="10" cm="1">
        <f t="array" ref="K152">IFERROR(IF(I152&lt;_xlfn.XLOOKUP(D152,D153:D$1000,I153:I$1000,,0,1),G152*H152-_xlfn.XLOOKUP(D152,D153:D$1000,J153:J$1000,,0,1)*-E152,0),0)</f>
        <v>0</v>
      </c>
      <c r="L152" s="56">
        <v>140.86699999999999</v>
      </c>
      <c r="M152" s="56">
        <v>140.78</v>
      </c>
      <c r="N152" s="59" cm="1">
        <f t="array" ref="N152">IF(I152&gt;_xlfn.XLOOKUP(D152,D153:D$1000,I153:I$1000,0,0,1),(_xlfn.XLOOKUP(D152,D153:D$1000,N153:N$1000,0,0,1)*MAX(1,L152/_xlfn.XLOOKUP(D152,D153:D$1000,L153:L$1000,L152,0,1))*_xlfn.XLOOKUP(D152,D153:D$1000,I153:I$1000,0,0,1)-G152*H152)/I152,_xlfn.XLOOKUP(D152,D153:D$1000,N153:N$1000,,0,1)*MAX(1,L152/_xlfn.XLOOKUP(D152,D153:D$1000,L153:L$1000,,0,1)))</f>
        <v>283.32495437022448</v>
      </c>
      <c r="O152" s="59" cm="1">
        <f t="array" ref="O152">IFERROR(IF(I152&lt;_xlfn.XLOOKUP(D152,D153:D$1000,I153:I$1000,,0,1),G152*H152-_xlfn.XLOOKUP(D152,D153:D$1000,N153:N$1000,,0,1)*-E152*MAX(1,M152/IFERROR(_xlfn.XLOOKUP(D152,D153:D$1000,L153:L$1000,,0,1),M152)),0),0)</f>
        <v>0</v>
      </c>
      <c r="P152" s="56" t="str" cm="1">
        <f t="array" ref="P152">IF(O152&lt;0,1,IF(E152&lt;0, _xlfn.LET(_xlpm.v_cant, ABS(E152), _xlpm.v_fecha, B152, _xlpm.v_ticker, D152, _xlpm.rango_f, B153:B$1000, _xlpm.rango_t, E153:E$1000, _xlpm.filtro, D153:D$1000=_xlpm.v_ticker, _xlpm.c_fechas, _xlfn._xlws.FILTER(_xlpm.rango_f, _xlpm.filtro*(_xlpm.rango_t&gt;0), _xlpm.v_fecha), _xlpm.c_cants, _xlfn._xlws.FILTER(_xlpm.rango_t, _xlpm.filtro*(_xlpm.rango_t&gt;0), 0), _xlpm.v_acums_pasadas, ABS(SUMIFS(E153:E$1000, D153:D$1000, _xlpm.v_ticker, E153:E$1000,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3" spans="1:16" x14ac:dyDescent="0.45">
      <c r="A153" s="3" t="s">
        <v>32</v>
      </c>
      <c r="B153" s="4">
        <f t="shared" si="2"/>
        <v>45873</v>
      </c>
      <c r="C153" s="3" t="s">
        <v>90</v>
      </c>
      <c r="D153" s="3" t="s">
        <v>152</v>
      </c>
      <c r="E153" s="3">
        <v>0.19869645</v>
      </c>
      <c r="F153" s="3">
        <v>14.974600000000001</v>
      </c>
      <c r="G153" s="3">
        <v>-3.02</v>
      </c>
      <c r="H153" s="5">
        <v>18.878299999999999</v>
      </c>
      <c r="I153" s="8">
        <f>SUMIF(D153:D$1000,D153,E153:E$1000)</f>
        <v>0.19869645</v>
      </c>
      <c r="J153" s="9" cm="1">
        <f t="array" ref="J153">IF(I153&gt;IFERROR(_xlfn.XLOOKUP(D153,D154:D$1000,I154:I$1000,,0,1),0),(IFERROR(_xlfn.XLOOKUP(D153,D154:D$1000,J154:J$1000,,0,1),0)*IFERROR(_xlfn.XLOOKUP(D153,D154:D$1000,I154:I$1000,,0,1),0)-G153*H153)/I153,_xlfn.XLOOKUP(D153,D154:D$1000,J154:J$1000,,0,1))</f>
        <v>286.93248419888727</v>
      </c>
      <c r="K153" s="10" cm="1">
        <f t="array" ref="K153">IFERROR(IF(I153&lt;_xlfn.XLOOKUP(D153,D154:D$1000,I154:I$1000,,0,1),G153*H153-_xlfn.XLOOKUP(D153,D154:D$1000,J154:J$1000,,0,1)*-E153,0),0)</f>
        <v>0</v>
      </c>
      <c r="L153" s="56">
        <v>140.86699999999999</v>
      </c>
      <c r="M153" s="56">
        <v>140.78</v>
      </c>
      <c r="N153" s="59" cm="1">
        <f t="array" ref="N153">IF(I153&gt;_xlfn.XLOOKUP(D153,D154:D$1000,I154:I$1000,0,0,1),(_xlfn.XLOOKUP(D153,D154:D$1000,N154:N$1000,0,0,1)*MAX(1,L153/_xlfn.XLOOKUP(D153,D154:D$1000,L154:L$1000,L153,0,1))*_xlfn.XLOOKUP(D153,D154:D$1000,I154:I$1000,0,0,1)-G153*H153)/I153,_xlfn.XLOOKUP(D153,D154:D$1000,N154:N$1000,,0,1)*MAX(1,L153/_xlfn.XLOOKUP(D153,D154:D$1000,L154:L$1000,,0,1)))</f>
        <v>286.93248419888727</v>
      </c>
      <c r="O153" s="59" cm="1">
        <f t="array" ref="O153">IFERROR(IF(I153&lt;_xlfn.XLOOKUP(D153,D154:D$1000,I154:I$1000,,0,1),G153*H153-_xlfn.XLOOKUP(D153,D154:D$1000,N154:N$1000,,0,1)*-E153*MAX(1,M153/IFERROR(_xlfn.XLOOKUP(D153,D154:D$1000,L154:L$1000,,0,1),M153)),0),0)</f>
        <v>0</v>
      </c>
      <c r="P153" s="56" t="str" cm="1">
        <f t="array" ref="P153">IF(O153&lt;0,1,IF(E153&lt;0, _xlfn.LET(_xlpm.v_cant, ABS(E153), _xlpm.v_fecha, B153, _xlpm.v_ticker, D153, _xlpm.rango_f, B154:B$1000, _xlpm.rango_t, E154:E$1000, _xlpm.filtro, D154:D$1000=_xlpm.v_ticker, _xlpm.c_fechas, _xlfn._xlws.FILTER(_xlpm.rango_f, _xlpm.filtro*(_xlpm.rango_t&gt;0), _xlpm.v_fecha), _xlpm.c_cants, _xlfn._xlws.FILTER(_xlpm.rango_t, _xlpm.filtro*(_xlpm.rango_t&gt;0), 0), _xlpm.v_acums_pasadas, ABS(SUMIFS(E154:E$1000, D154:D$1000, _xlpm.v_ticker, E154:E$1000,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4" spans="1:16" x14ac:dyDescent="0.45">
      <c r="A154" s="3" t="s">
        <v>31</v>
      </c>
      <c r="B154" s="4">
        <f t="shared" si="2"/>
        <v>45870</v>
      </c>
      <c r="C154" s="3" t="s">
        <v>90</v>
      </c>
      <c r="D154" s="3" t="s">
        <v>149</v>
      </c>
      <c r="E154" s="3">
        <v>1</v>
      </c>
      <c r="F154" s="3">
        <v>13.6876</v>
      </c>
      <c r="G154" s="3">
        <v>-13.69</v>
      </c>
      <c r="H154" s="5">
        <v>18.916</v>
      </c>
      <c r="I154" s="8">
        <f>SUMIF(D154:D$1000,D154,E154:E$1000)</f>
        <v>1.1002659299999999</v>
      </c>
      <c r="J154" s="9" cm="1">
        <f t="array" ref="J154">IF(I154&gt;IFERROR(_xlfn.XLOOKUP(D154,D155:D$1000,I155:I$1000,,0,1),0),(IFERROR(_xlfn.XLOOKUP(D154,D155:D$1000,J155:J$1000,,0,1),0)*IFERROR(_xlfn.XLOOKUP(D154,D155:D$1000,I155:I$1000,,0,1),0)-G154*H154)/I154,_xlfn.XLOOKUP(D154,D155:D$1000,J155:J$1000,,0,1))</f>
        <v>259.43040879217261</v>
      </c>
      <c r="K154" s="10" cm="1">
        <f t="array" ref="K154">IFERROR(IF(I154&lt;_xlfn.XLOOKUP(D154,D155:D$1000,I155:I$1000,,0,1),G154*H154-_xlfn.XLOOKUP(D154,D155:D$1000,J155:J$1000,,0,1)*-E154,0),0)</f>
        <v>0</v>
      </c>
      <c r="L154" s="56">
        <v>140.86699999999999</v>
      </c>
      <c r="M154" s="56">
        <v>140.78</v>
      </c>
      <c r="N154" s="59" cm="1">
        <f t="array" ref="N154">IF(I154&gt;_xlfn.XLOOKUP(D154,D155:D$1000,I155:I$1000,0,0,1),(_xlfn.XLOOKUP(D154,D155:D$1000,N155:N$1000,0,0,1)*MAX(1,L154/_xlfn.XLOOKUP(D154,D155:D$1000,L155:L$1000,L154,0,1))*_xlfn.XLOOKUP(D154,D155:D$1000,I155:I$1000,0,0,1)-G154*H154)/I154,_xlfn.XLOOKUP(D154,D155:D$1000,N155:N$1000,,0,1)*MAX(1,L154/_xlfn.XLOOKUP(D154,D155:D$1000,L155:L$1000,,0,1)))</f>
        <v>259.43040879217261</v>
      </c>
      <c r="O154" s="59" cm="1">
        <f t="array" ref="O154">IFERROR(IF(I154&lt;_xlfn.XLOOKUP(D154,D155:D$1000,I155:I$1000,,0,1),G154*H154-_xlfn.XLOOKUP(D154,D155:D$1000,N155:N$1000,,0,1)*-E154*MAX(1,M154/IFERROR(_xlfn.XLOOKUP(D154,D155:D$1000,L155:L$1000,,0,1),M154)),0),0)</f>
        <v>0</v>
      </c>
      <c r="P154" s="56" t="str" cm="1">
        <f t="array" ref="P154">IF(O154&lt;0,1,IF(E154&lt;0, _xlfn.LET(_xlpm.v_cant, ABS(E154), _xlpm.v_fecha, B154, _xlpm.v_ticker, D154, _xlpm.rango_f, B155:B$1000, _xlpm.rango_t, E155:E$1000, _xlpm.filtro, D155:D$1000=_xlpm.v_ticker, _xlpm.c_fechas, _xlfn._xlws.FILTER(_xlpm.rango_f, _xlpm.filtro*(_xlpm.rango_t&gt;0), _xlpm.v_fecha), _xlpm.c_cants, _xlfn._xlws.FILTER(_xlpm.rango_t, _xlpm.filtro*(_xlpm.rango_t&gt;0), 0), _xlpm.v_acums_pasadas, ABS(SUMIFS(E155:E$1000, D155:D$1000, _xlpm.v_ticker, E155:E$1000,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5" spans="1:16" x14ac:dyDescent="0.45">
      <c r="A155" s="3" t="s">
        <v>31</v>
      </c>
      <c r="B155" s="4">
        <f t="shared" si="2"/>
        <v>45870</v>
      </c>
      <c r="C155" s="3" t="s">
        <v>90</v>
      </c>
      <c r="D155" s="3" t="s">
        <v>149</v>
      </c>
      <c r="E155" s="3">
        <v>0.10026593</v>
      </c>
      <c r="F155" s="3">
        <v>13.6876</v>
      </c>
      <c r="G155" s="3">
        <v>-1.4</v>
      </c>
      <c r="H155" s="5">
        <v>18.916</v>
      </c>
      <c r="I155" s="8">
        <f>SUMIF(D155:D$1000,D155,E155:E$1000)</f>
        <v>0.10026593</v>
      </c>
      <c r="J155" s="9" cm="1">
        <f t="array" ref="J155">IF(I155&gt;IFERROR(_xlfn.XLOOKUP(D155,D156:D$1000,I156:I$1000,,0,1),0),(IFERROR(_xlfn.XLOOKUP(D155,D156:D$1000,J156:J$1000,,0,1),0)*IFERROR(_xlfn.XLOOKUP(D155,D156:D$1000,I156:I$1000,,0,1),0)-G155*H155)/I155,_xlfn.XLOOKUP(D155,D156:D$1000,J156:J$1000,,0,1))</f>
        <v>264.12162137228466</v>
      </c>
      <c r="K155" s="10" cm="1">
        <f t="array" ref="K155">IFERROR(IF(I155&lt;_xlfn.XLOOKUP(D155,D156:D$1000,I156:I$1000,,0,1),G155*H155-_xlfn.XLOOKUP(D155,D156:D$1000,J156:J$1000,,0,1)*-E155,0),0)</f>
        <v>0</v>
      </c>
      <c r="L155" s="56">
        <v>140.86699999999999</v>
      </c>
      <c r="M155" s="56">
        <v>140.78</v>
      </c>
      <c r="N155" s="59" cm="1">
        <f t="array" ref="N155">IF(I155&gt;_xlfn.XLOOKUP(D155,D156:D$1000,I156:I$1000,0,0,1),(_xlfn.XLOOKUP(D155,D156:D$1000,N156:N$1000,0,0,1)*MAX(1,L155/_xlfn.XLOOKUP(D155,D156:D$1000,L156:L$1000,L155,0,1))*_xlfn.XLOOKUP(D155,D156:D$1000,I156:I$1000,0,0,1)-G155*H155)/I155,_xlfn.XLOOKUP(D155,D156:D$1000,N156:N$1000,,0,1)*MAX(1,L155/_xlfn.XLOOKUP(D155,D156:D$1000,L156:L$1000,,0,1)))</f>
        <v>264.12162137228466</v>
      </c>
      <c r="O155" s="59" cm="1">
        <f t="array" ref="O155">IFERROR(IF(I155&lt;_xlfn.XLOOKUP(D155,D156:D$1000,I156:I$1000,,0,1),G155*H155-_xlfn.XLOOKUP(D155,D156:D$1000,N156:N$1000,,0,1)*-E155*MAX(1,M155/IFERROR(_xlfn.XLOOKUP(D155,D156:D$1000,L156:L$1000,,0,1),M155)),0),0)</f>
        <v>0</v>
      </c>
      <c r="P155" s="56" t="str" cm="1">
        <f t="array" ref="P155">IF(O155&lt;0,1,IF(E155&lt;0, _xlfn.LET(_xlpm.v_cant, ABS(E155), _xlpm.v_fecha, B155, _xlpm.v_ticker, D155, _xlpm.rango_f, B156:B$1000, _xlpm.rango_t, E156:E$1000, _xlpm.filtro, D156:D$1000=_xlpm.v_ticker, _xlpm.c_fechas, _xlfn._xlws.FILTER(_xlpm.rango_f, _xlpm.filtro*(_xlpm.rango_t&gt;0), _xlpm.v_fecha), _xlpm.c_cants, _xlfn._xlws.FILTER(_xlpm.rango_t, _xlpm.filtro*(_xlpm.rango_t&gt;0), 0), _xlpm.v_acums_pasadas, ABS(SUMIFS(E156:E$1000, D156:D$1000, _xlpm.v_ticker, E156:E$1000,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6" spans="1:16" x14ac:dyDescent="0.45">
      <c r="A156" s="3" t="s">
        <v>31</v>
      </c>
      <c r="B156" s="4">
        <f t="shared" si="2"/>
        <v>45870</v>
      </c>
      <c r="C156" s="3" t="s">
        <v>91</v>
      </c>
      <c r="D156" s="3" t="s">
        <v>150</v>
      </c>
      <c r="E156" s="3">
        <v>-5</v>
      </c>
      <c r="F156" s="3">
        <v>7.6012000000000004</v>
      </c>
      <c r="G156" s="3">
        <v>38.01</v>
      </c>
      <c r="H156" s="5">
        <v>18.916</v>
      </c>
      <c r="I156" s="8">
        <f>SUMIF(D156:D$1000,D156,E156:E$1000)</f>
        <v>3.3306690738754696E-16</v>
      </c>
      <c r="J156" s="9" cm="1">
        <f t="array" ref="J156">IF(I156&gt;IFERROR(_xlfn.XLOOKUP(D156,D157:D$1000,I157:I$1000,,0,1),0),(IFERROR(_xlfn.XLOOKUP(D156,D157:D$1000,J157:J$1000,,0,1),0)*IFERROR(_xlfn.XLOOKUP(D156,D157:D$1000,I157:I$1000,,0,1),0)-G156*H156)/I156,_xlfn.XLOOKUP(D156,D157:D$1000,J157:J$1000,,0,1))</f>
        <v>81.191279397342512</v>
      </c>
      <c r="K156" s="10" cm="1">
        <f t="array" ref="K156">IFERROR(IF(I156&lt;_xlfn.XLOOKUP(D156,D157:D$1000,I157:I$1000,,0,1),G156*H156-_xlfn.XLOOKUP(D156,D157:D$1000,J157:J$1000,,0,1)*-E156,0),0)</f>
        <v>313.04076301328746</v>
      </c>
      <c r="L156" s="56">
        <v>140.86699999999999</v>
      </c>
      <c r="M156" s="56">
        <v>140.78</v>
      </c>
      <c r="N156" s="59" cm="1">
        <f t="array" ref="N156">IF(I156&gt;_xlfn.XLOOKUP(D156,D157:D$1000,I157:I$1000,0,0,1),(_xlfn.XLOOKUP(D156,D157:D$1000,N157:N$1000,0,0,1)*MAX(1,L156/_xlfn.XLOOKUP(D156,D157:D$1000,L157:L$1000,L156,0,1))*_xlfn.XLOOKUP(D156,D157:D$1000,I157:I$1000,0,0,1)-G156*H156)/I156,_xlfn.XLOOKUP(D156,D157:D$1000,N157:N$1000,,0,1)*MAX(1,L156/_xlfn.XLOOKUP(D156,D157:D$1000,L157:L$1000,,0,1)))</f>
        <v>81.241454431492016</v>
      </c>
      <c r="O156" s="59" cm="1">
        <f t="array" ref="O156">IFERROR(IF(I156&lt;_xlfn.XLOOKUP(D156,D157:D$1000,I157:I$1000,,0,1),G156*H156-_xlfn.XLOOKUP(D156,D157:D$1000,N157:N$1000,,0,1)*-E156*MAX(1,M156/IFERROR(_xlfn.XLOOKUP(D156,D157:D$1000,L157:L$1000,,0,1),M156)),0),0)</f>
        <v>312.78988784253994</v>
      </c>
      <c r="P156" s="56" cm="1">
        <f t="array" ref="P156">IF(O156&lt;0,1,IF(E156&lt;0, _xlfn.LET(_xlpm.v_cant, ABS(E156), _xlpm.v_fecha, B156, _xlpm.v_ticker, D156, _xlpm.rango_f, B157:B$1000, _xlpm.rango_t, E157:E$1000, _xlpm.filtro, D157:D$1000=_xlpm.v_ticker, _xlpm.c_fechas, _xlfn._xlws.FILTER(_xlpm.rango_f, _xlpm.filtro*(_xlpm.rango_t&gt;0), _xlpm.v_fecha), _xlpm.c_cants, _xlfn._xlws.FILTER(_xlpm.rango_t, _xlpm.filtro*(_xlpm.rango_t&gt;0), 0), _xlpm.v_acums_pasadas, ABS(SUMIFS(E157:E$1000, D157:D$1000, _xlpm.v_ticker, E157:E$1000,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57" spans="1:16" x14ac:dyDescent="0.45">
      <c r="A157" s="3" t="s">
        <v>31</v>
      </c>
      <c r="B157" s="4">
        <f t="shared" si="2"/>
        <v>45870</v>
      </c>
      <c r="C157" s="3" t="s">
        <v>91</v>
      </c>
      <c r="D157" s="3" t="s">
        <v>150</v>
      </c>
      <c r="E157" s="3">
        <v>-0.73314321999999998</v>
      </c>
      <c r="F157" s="3">
        <v>7.6012000000000004</v>
      </c>
      <c r="G157" s="3">
        <v>5.47</v>
      </c>
      <c r="H157" s="5">
        <v>18.916</v>
      </c>
      <c r="I157" s="8">
        <f>SUMIF(D157:D$1000,D157,E157:E$1000)</f>
        <v>5</v>
      </c>
      <c r="J157" s="9" cm="1">
        <f t="array" ref="J157">IF(I157&gt;IFERROR(_xlfn.XLOOKUP(D157,D158:D$1000,I158:I$1000,,0,1),0),(IFERROR(_xlfn.XLOOKUP(D157,D158:D$1000,J158:J$1000,,0,1),0)*IFERROR(_xlfn.XLOOKUP(D157,D158:D$1000,I158:I$1000,,0,1),0)-G157*H157)/I157,_xlfn.XLOOKUP(D157,D158:D$1000,J158:J$1000,,0,1))</f>
        <v>81.191279397342512</v>
      </c>
      <c r="K157" s="10" cm="1">
        <f t="array" ref="K157">IFERROR(IF(I157&lt;_xlfn.XLOOKUP(D157,D158:D$1000,I158:I$1000,,0,1),G157*H157-_xlfn.XLOOKUP(D157,D158:D$1000,J158:J$1000,,0,1)*-E157,0),0)</f>
        <v>43.945683986712645</v>
      </c>
      <c r="L157" s="56">
        <v>140.86699999999999</v>
      </c>
      <c r="M157" s="56">
        <v>140.78</v>
      </c>
      <c r="N157" s="59" cm="1">
        <f t="array" ref="N157">IF(I157&gt;_xlfn.XLOOKUP(D157,D158:D$1000,I158:I$1000,0,0,1),(_xlfn.XLOOKUP(D157,D158:D$1000,N158:N$1000,0,0,1)*MAX(1,L157/_xlfn.XLOOKUP(D157,D158:D$1000,L158:L$1000,L157,0,1))*_xlfn.XLOOKUP(D157,D158:D$1000,I158:I$1000,0,0,1)-G157*H157)/I157,_xlfn.XLOOKUP(D157,D158:D$1000,N158:N$1000,,0,1)*MAX(1,L157/_xlfn.XLOOKUP(D157,D158:D$1000,L158:L$1000,,0,1)))</f>
        <v>81.241454431492016</v>
      </c>
      <c r="O157" s="59" cm="1">
        <f t="array" ref="O157">IFERROR(IF(I157&lt;_xlfn.XLOOKUP(D157,D158:D$1000,I158:I$1000,,0,1),G157*H157-_xlfn.XLOOKUP(D157,D158:D$1000,N158:N$1000,,0,1)*-E157*MAX(1,M157/IFERROR(_xlfn.XLOOKUP(D157,D158:D$1000,L158:L$1000,,0,1),M157)),0),0)</f>
        <v>43.945683986712645</v>
      </c>
      <c r="P157" s="56" cm="1">
        <f t="array" ref="P157">IF(O157&lt;0,1,IF(E157&lt;0, _xlfn.LET(_xlpm.v_cant, ABS(E157), _xlpm.v_fecha, B157, _xlpm.v_ticker, D157, _xlpm.rango_f, B158:B$1000, _xlpm.rango_t, E158:E$1000, _xlpm.filtro, D158:D$1000=_xlpm.v_ticker, _xlpm.c_fechas, _xlfn._xlws.FILTER(_xlpm.rango_f, _xlpm.filtro*(_xlpm.rango_t&gt;0), _xlpm.v_fecha), _xlpm.c_cants, _xlfn._xlws.FILTER(_xlpm.rango_t, _xlpm.filtro*(_xlpm.rango_t&gt;0), 0), _xlpm.v_acums_pasadas, ABS(SUMIFS(E158:E$1000, D158:D$1000, _xlpm.v_ticker, E158:E$1000,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58" spans="1:16" x14ac:dyDescent="0.45">
      <c r="A158" s="3" t="s">
        <v>31</v>
      </c>
      <c r="B158" s="4">
        <f t="shared" si="2"/>
        <v>45870</v>
      </c>
      <c r="C158" s="3" t="s">
        <v>90</v>
      </c>
      <c r="D158" s="3" t="s">
        <v>151</v>
      </c>
      <c r="E158" s="3">
        <v>0.53813111000000002</v>
      </c>
      <c r="F158" s="3">
        <v>16.668800000000001</v>
      </c>
      <c r="G158" s="3">
        <v>-8.99</v>
      </c>
      <c r="H158" s="5">
        <v>18.916</v>
      </c>
      <c r="I158" s="8">
        <f>SUMIF(D158:D$1000,D158,E158:E$1000)</f>
        <v>0.53813111000000002</v>
      </c>
      <c r="J158" s="9" cm="1">
        <f t="array" ref="J158">IF(I158&gt;IFERROR(_xlfn.XLOOKUP(D158,D159:D$1000,I159:I$1000,,0,1),0),(IFERROR(_xlfn.XLOOKUP(D158,D159:D$1000,J159:J$1000,,0,1),0)*IFERROR(_xlfn.XLOOKUP(D158,D159:D$1000,I159:I$1000,,0,1),0)-G158*H158)/I158,_xlfn.XLOOKUP(D158,D159:D$1000,J159:J$1000,,0,1))</f>
        <v>316.0100518998056</v>
      </c>
      <c r="K158" s="10" cm="1">
        <f t="array" ref="K158">IFERROR(IF(I158&lt;_xlfn.XLOOKUP(D158,D159:D$1000,I159:I$1000,,0,1),G158*H158-_xlfn.XLOOKUP(D158,D159:D$1000,J159:J$1000,,0,1)*-E158,0),0)</f>
        <v>0</v>
      </c>
      <c r="L158" s="56">
        <v>140.86699999999999</v>
      </c>
      <c r="M158" s="56">
        <v>140.78</v>
      </c>
      <c r="N158" s="59" cm="1">
        <f t="array" ref="N158">IF(I158&gt;_xlfn.XLOOKUP(D158,D159:D$1000,I159:I$1000,0,0,1),(_xlfn.XLOOKUP(D158,D159:D$1000,N159:N$1000,0,0,1)*MAX(1,L158/_xlfn.XLOOKUP(D158,D159:D$1000,L159:L$1000,L158,0,1))*_xlfn.XLOOKUP(D158,D159:D$1000,I159:I$1000,0,0,1)-G158*H158)/I158,_xlfn.XLOOKUP(D158,D159:D$1000,N159:N$1000,,0,1)*MAX(1,L158/_xlfn.XLOOKUP(D158,D159:D$1000,L159:L$1000,,0,1)))</f>
        <v>316.0100518998056</v>
      </c>
      <c r="O158" s="59" cm="1">
        <f t="array" ref="O158">IFERROR(IF(I158&lt;_xlfn.XLOOKUP(D158,D159:D$1000,I159:I$1000,,0,1),G158*H158-_xlfn.XLOOKUP(D158,D159:D$1000,N159:N$1000,,0,1)*-E158*MAX(1,M158/IFERROR(_xlfn.XLOOKUP(D158,D159:D$1000,L159:L$1000,,0,1),M158)),0),0)</f>
        <v>0</v>
      </c>
      <c r="P158" s="56" t="str" cm="1">
        <f t="array" ref="P158">IF(O158&lt;0,1,IF(E158&lt;0, _xlfn.LET(_xlpm.v_cant, ABS(E158), _xlpm.v_fecha, B158, _xlpm.v_ticker, D158, _xlpm.rango_f, B159:B$1000, _xlpm.rango_t, E159:E$1000, _xlpm.filtro, D159:D$1000=_xlpm.v_ticker, _xlpm.c_fechas, _xlfn._xlws.FILTER(_xlpm.rango_f, _xlpm.filtro*(_xlpm.rango_t&gt;0), _xlpm.v_fecha), _xlpm.c_cants, _xlfn._xlws.FILTER(_xlpm.rango_t, _xlpm.filtro*(_xlpm.rango_t&gt;0), 0), _xlpm.v_acums_pasadas, ABS(SUMIFS(E159:E$1000, D159:D$1000, _xlpm.v_ticker, E159:E$1000,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59" spans="1:16" x14ac:dyDescent="0.45">
      <c r="A159" s="3" t="s">
        <v>51</v>
      </c>
      <c r="B159" s="4">
        <f t="shared" si="2"/>
        <v>45869</v>
      </c>
      <c r="C159" s="3" t="s">
        <v>90</v>
      </c>
      <c r="D159" s="3" t="s">
        <v>163</v>
      </c>
      <c r="E159" s="3">
        <v>3.4250999999999997E-2</v>
      </c>
      <c r="F159" s="3">
        <v>349.47879999999998</v>
      </c>
      <c r="G159" s="3">
        <v>-11.99</v>
      </c>
      <c r="H159" s="5">
        <v>18.796299999999999</v>
      </c>
      <c r="I159" s="8">
        <f>SUMIF(D159:D$1000,D159,E159:E$1000)</f>
        <v>3.4250999999999997E-2</v>
      </c>
      <c r="J159" s="9" cm="1">
        <f t="array" ref="J159">IF(I159&gt;IFERROR(_xlfn.XLOOKUP(D159,D160:D$1000,I160:I$1000,,0,1),0),(IFERROR(_xlfn.XLOOKUP(D159,D160:D$1000,J160:J$1000,,0,1),0)*IFERROR(_xlfn.XLOOKUP(D159,D160:D$1000,I160:I$1000,,0,1),0)-G159*H159)/I159,_xlfn.XLOOKUP(D159,D160:D$1000,J160:J$1000,,0,1))</f>
        <v>6579.8848792735989</v>
      </c>
      <c r="K159" s="10" cm="1">
        <f t="array" ref="K159">IFERROR(IF(I159&lt;_xlfn.XLOOKUP(D159,D160:D$1000,I160:I$1000,,0,1),G159*H159-_xlfn.XLOOKUP(D159,D160:D$1000,J160:J$1000,,0,1)*-E159,0),0)</f>
        <v>0</v>
      </c>
      <c r="L159" s="56">
        <v>140.78</v>
      </c>
      <c r="M159" s="56">
        <v>140.405</v>
      </c>
      <c r="N159" s="59" cm="1">
        <f t="array" ref="N159">IF(I159&gt;_xlfn.XLOOKUP(D159,D160:D$1000,I160:I$1000,0,0,1),(_xlfn.XLOOKUP(D159,D160:D$1000,N160:N$1000,0,0,1)*MAX(1,L159/_xlfn.XLOOKUP(D159,D160:D$1000,L160:L$1000,L159,0,1))*_xlfn.XLOOKUP(D159,D160:D$1000,I160:I$1000,0,0,1)-G159*H159)/I159,_xlfn.XLOOKUP(D159,D160:D$1000,N160:N$1000,,0,1)*MAX(1,L159/_xlfn.XLOOKUP(D159,D160:D$1000,L160:L$1000,,0,1)))</f>
        <v>6579.8848792735989</v>
      </c>
      <c r="O159" s="59" cm="1">
        <f t="array" ref="O159">IFERROR(IF(I159&lt;_xlfn.XLOOKUP(D159,D160:D$1000,I160:I$1000,,0,1),G159*H159-_xlfn.XLOOKUP(D159,D160:D$1000,N160:N$1000,,0,1)*-E159*MAX(1,M159/IFERROR(_xlfn.XLOOKUP(D159,D160:D$1000,L160:L$1000,,0,1),M159)),0),0)</f>
        <v>0</v>
      </c>
      <c r="P159" s="56" t="str" cm="1">
        <f t="array" ref="P159">IF(O159&lt;0,1,IF(E159&lt;0, _xlfn.LET(_xlpm.v_cant, ABS(E159), _xlpm.v_fecha, B159, _xlpm.v_ticker, D159, _xlpm.rango_f, B160:B$1000, _xlpm.rango_t, E160:E$1000, _xlpm.filtro, D160:D$1000=_xlpm.v_ticker, _xlpm.c_fechas, _xlfn._xlws.FILTER(_xlpm.rango_f, _xlpm.filtro*(_xlpm.rango_t&gt;0), _xlpm.v_fecha), _xlpm.c_cants, _xlfn._xlws.FILTER(_xlpm.rango_t, _xlpm.filtro*(_xlpm.rango_t&gt;0), 0), _xlpm.v_acums_pasadas, ABS(SUMIFS(E160:E$1000, D160:D$1000, _xlpm.v_ticker, E160:E$1000,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0" spans="1:16" x14ac:dyDescent="0.45">
      <c r="A160" s="3" t="s">
        <v>50</v>
      </c>
      <c r="B160" s="4">
        <f t="shared" si="2"/>
        <v>45867</v>
      </c>
      <c r="C160" s="3" t="s">
        <v>90</v>
      </c>
      <c r="D160" s="3" t="s">
        <v>191</v>
      </c>
      <c r="E160" s="3">
        <v>1</v>
      </c>
      <c r="F160" s="3">
        <v>16.015000000000001</v>
      </c>
      <c r="G160" s="3">
        <v>-16.02</v>
      </c>
      <c r="H160" s="5">
        <v>18.764199999999999</v>
      </c>
      <c r="I160" s="8">
        <f>SUMIF(D160:D$1000,D160,E160:E$1000)</f>
        <v>1.2457071399999999</v>
      </c>
      <c r="J160" s="9" cm="1">
        <f t="array" ref="J160">IF(I160&gt;IFERROR(_xlfn.XLOOKUP(D160,D161:D$1000,I161:I$1000,,0,1),0),(IFERROR(_xlfn.XLOOKUP(D160,D161:D$1000,J161:J$1000,,0,1),0)*IFERROR(_xlfn.XLOOKUP(D160,D161:D$1000,I161:I$1000,,0,1),0)-G160*H160)/I160,_xlfn.XLOOKUP(D160,D161:D$1000,J161:J$1000,,0,1))</f>
        <v>301.11118894285215</v>
      </c>
      <c r="K160" s="10" cm="1">
        <f t="array" ref="K160">IFERROR(IF(I160&lt;_xlfn.XLOOKUP(D160,D161:D$1000,I161:I$1000,,0,1),G160*H160-_xlfn.XLOOKUP(D160,D161:D$1000,J161:J$1000,,0,1)*-E160,0),0)</f>
        <v>0</v>
      </c>
      <c r="L160" s="56">
        <v>140.78</v>
      </c>
      <c r="M160" s="56">
        <v>140.405</v>
      </c>
      <c r="N160" s="59" cm="1">
        <f t="array" ref="N160">IF(I160&gt;_xlfn.XLOOKUP(D160,D161:D$1000,I161:I$1000,0,0,1),(_xlfn.XLOOKUP(D160,D161:D$1000,N161:N$1000,0,0,1)*MAX(1,L160/_xlfn.XLOOKUP(D160,D161:D$1000,L161:L$1000,L160,0,1))*_xlfn.XLOOKUP(D160,D161:D$1000,I161:I$1000,0,0,1)-G160*H160)/I160,_xlfn.XLOOKUP(D160,D161:D$1000,N161:N$1000,,0,1)*MAX(1,L160/_xlfn.XLOOKUP(D160,D161:D$1000,L161:L$1000,,0,1)))</f>
        <v>301.11118894285215</v>
      </c>
      <c r="O160" s="59" cm="1">
        <f t="array" ref="O160">IFERROR(IF(I160&lt;_xlfn.XLOOKUP(D160,D161:D$1000,I161:I$1000,,0,1),G160*H160-_xlfn.XLOOKUP(D160,D161:D$1000,N161:N$1000,,0,1)*-E160*MAX(1,M160/IFERROR(_xlfn.XLOOKUP(D160,D161:D$1000,L161:L$1000,,0,1),M160)),0),0)</f>
        <v>0</v>
      </c>
      <c r="P160" s="56" t="str" cm="1">
        <f t="array" ref="P160">IF(O160&lt;0,1,IF(E160&lt;0, _xlfn.LET(_xlpm.v_cant, ABS(E160), _xlpm.v_fecha, B160, _xlpm.v_ticker, D160, _xlpm.rango_f, B161:B$1000, _xlpm.rango_t, E161:E$1000, _xlpm.filtro, D161:D$1000=_xlpm.v_ticker, _xlpm.c_fechas, _xlfn._xlws.FILTER(_xlpm.rango_f, _xlpm.filtro*(_xlpm.rango_t&gt;0), _xlpm.v_fecha), _xlpm.c_cants, _xlfn._xlws.FILTER(_xlpm.rango_t, _xlpm.filtro*(_xlpm.rango_t&gt;0), 0), _xlpm.v_acums_pasadas, ABS(SUMIFS(E161:E$1000, D161:D$1000, _xlpm.v_ticker, E161:E$1000,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1" spans="1:16" x14ac:dyDescent="0.45">
      <c r="A161" s="3" t="s">
        <v>50</v>
      </c>
      <c r="B161" s="4">
        <f t="shared" si="2"/>
        <v>45867</v>
      </c>
      <c r="C161" s="3" t="s">
        <v>90</v>
      </c>
      <c r="D161" s="3" t="s">
        <v>191</v>
      </c>
      <c r="E161" s="3">
        <v>0.24570713999999999</v>
      </c>
      <c r="F161" s="3">
        <v>16.015000000000001</v>
      </c>
      <c r="G161" s="3">
        <v>-3.97</v>
      </c>
      <c r="H161" s="5">
        <v>18.764199999999999</v>
      </c>
      <c r="I161" s="8">
        <f>SUMIF(D161:D$1000,D161,E161:E$1000)</f>
        <v>0.24570713999999999</v>
      </c>
      <c r="J161" s="9" cm="1">
        <f t="array" ref="J161">IF(I161&gt;IFERROR(_xlfn.XLOOKUP(D161,D162:D$1000,I162:I$1000,,0,1),0),(IFERROR(_xlfn.XLOOKUP(D161,D162:D$1000,J162:J$1000,,0,1),0)*IFERROR(_xlfn.XLOOKUP(D161,D162:D$1000,I162:I$1000,,0,1),0)-G161*H161)/I161,_xlfn.XLOOKUP(D161,D162:D$1000,J162:J$1000,,0,1))</f>
        <v>303.18155996606367</v>
      </c>
      <c r="K161" s="10" cm="1">
        <f t="array" ref="K161">IFERROR(IF(I161&lt;_xlfn.XLOOKUP(D161,D162:D$1000,I162:I$1000,,0,1),G161*H161-_xlfn.XLOOKUP(D161,D162:D$1000,J162:J$1000,,0,1)*-E161,0),0)</f>
        <v>0</v>
      </c>
      <c r="L161" s="56">
        <v>140.78</v>
      </c>
      <c r="M161" s="56">
        <v>140.405</v>
      </c>
      <c r="N161" s="59" cm="1">
        <f t="array" ref="N161">IF(I161&gt;_xlfn.XLOOKUP(D161,D162:D$1000,I162:I$1000,0,0,1),(_xlfn.XLOOKUP(D161,D162:D$1000,N162:N$1000,0,0,1)*MAX(1,L161/_xlfn.XLOOKUP(D161,D162:D$1000,L162:L$1000,L161,0,1))*_xlfn.XLOOKUP(D161,D162:D$1000,I162:I$1000,0,0,1)-G161*H161)/I161,_xlfn.XLOOKUP(D161,D162:D$1000,N162:N$1000,,0,1)*MAX(1,L161/_xlfn.XLOOKUP(D161,D162:D$1000,L162:L$1000,,0,1)))</f>
        <v>303.18155996606367</v>
      </c>
      <c r="O161" s="59" cm="1">
        <f t="array" ref="O161">IFERROR(IF(I161&lt;_xlfn.XLOOKUP(D161,D162:D$1000,I162:I$1000,,0,1),G161*H161-_xlfn.XLOOKUP(D161,D162:D$1000,N162:N$1000,,0,1)*-E161*MAX(1,M161/IFERROR(_xlfn.XLOOKUP(D161,D162:D$1000,L162:L$1000,,0,1),M161)),0),0)</f>
        <v>0</v>
      </c>
      <c r="P161" s="56" t="str" cm="1">
        <f t="array" ref="P161">IF(O161&lt;0,1,IF(E161&lt;0, _xlfn.LET(_xlpm.v_cant, ABS(E161), _xlpm.v_fecha, B161, _xlpm.v_ticker, D161, _xlpm.rango_f, B162:B$1000, _xlpm.rango_t, E162:E$1000, _xlpm.filtro, D162:D$1000=_xlpm.v_ticker, _xlpm.c_fechas, _xlfn._xlws.FILTER(_xlpm.rango_f, _xlpm.filtro*(_xlpm.rango_t&gt;0), _xlpm.v_fecha), _xlpm.c_cants, _xlfn._xlws.FILTER(_xlpm.rango_t, _xlpm.filtro*(_xlpm.rango_t&gt;0), 0), _xlpm.v_acums_pasadas, ABS(SUMIFS(E162:E$1000, D162:D$1000, _xlpm.v_ticker, E162:E$1000,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2" spans="1:16" x14ac:dyDescent="0.45">
      <c r="A162" s="3" t="s">
        <v>49</v>
      </c>
      <c r="B162" s="4">
        <f t="shared" si="2"/>
        <v>45860</v>
      </c>
      <c r="C162" s="3" t="s">
        <v>90</v>
      </c>
      <c r="D162" s="3" t="s">
        <v>182</v>
      </c>
      <c r="E162" s="3">
        <v>0.44725071999999999</v>
      </c>
      <c r="F162" s="3">
        <v>33.448799999999999</v>
      </c>
      <c r="G162" s="3">
        <v>-14.99</v>
      </c>
      <c r="H162" s="5">
        <v>18.621200000000002</v>
      </c>
      <c r="I162" s="8">
        <f>SUMIF(D162:D$1000,D162,E162:E$1000)</f>
        <v>0.44725071999999999</v>
      </c>
      <c r="J162" s="9" cm="1">
        <f t="array" ref="J162">IF(I162&gt;IFERROR(_xlfn.XLOOKUP(D162,D163:D$1000,I163:I$1000,,0,1),0),(IFERROR(_xlfn.XLOOKUP(D162,D163:D$1000,J163:J$1000,,0,1),0)*IFERROR(_xlfn.XLOOKUP(D162,D163:D$1000,I163:I$1000,,0,1),0)-G162*H162)/I162,_xlfn.XLOOKUP(D162,D163:D$1000,J163:J$1000,,0,1))</f>
        <v>624.10584380948569</v>
      </c>
      <c r="K162" s="10" cm="1">
        <f t="array" ref="K162">IFERROR(IF(I162&lt;_xlfn.XLOOKUP(D162,D163:D$1000,I163:I$1000,,0,1),G162*H162-_xlfn.XLOOKUP(D162,D163:D$1000,J163:J$1000,,0,1)*-E162,0),0)</f>
        <v>0</v>
      </c>
      <c r="L162" s="56">
        <v>140.78</v>
      </c>
      <c r="M162" s="56">
        <v>140.405</v>
      </c>
      <c r="N162" s="59" cm="1">
        <f t="array" ref="N162">IF(I162&gt;_xlfn.XLOOKUP(D162,D163:D$1000,I163:I$1000,0,0,1),(_xlfn.XLOOKUP(D162,D163:D$1000,N163:N$1000,0,0,1)*MAX(1,L162/_xlfn.XLOOKUP(D162,D163:D$1000,L163:L$1000,L162,0,1))*_xlfn.XLOOKUP(D162,D163:D$1000,I163:I$1000,0,0,1)-G162*H162)/I162,_xlfn.XLOOKUP(D162,D163:D$1000,N163:N$1000,,0,1)*MAX(1,L162/_xlfn.XLOOKUP(D162,D163:D$1000,L163:L$1000,,0,1)))</f>
        <v>624.10584380948569</v>
      </c>
      <c r="O162" s="59" cm="1">
        <f t="array" ref="O162">IFERROR(IF(I162&lt;_xlfn.XLOOKUP(D162,D163:D$1000,I163:I$1000,,0,1),G162*H162-_xlfn.XLOOKUP(D162,D163:D$1000,N163:N$1000,,0,1)*-E162*MAX(1,M162/IFERROR(_xlfn.XLOOKUP(D162,D163:D$1000,L163:L$1000,,0,1),M162)),0),0)</f>
        <v>0</v>
      </c>
      <c r="P162" s="56" t="str" cm="1">
        <f t="array" ref="P162">IF(O162&lt;0,1,IF(E162&lt;0, _xlfn.LET(_xlpm.v_cant, ABS(E162), _xlpm.v_fecha, B162, _xlpm.v_ticker, D162, _xlpm.rango_f, B163:B$1000, _xlpm.rango_t, E163:E$1000, _xlpm.filtro, D163:D$1000=_xlpm.v_ticker, _xlpm.c_fechas, _xlfn._xlws.FILTER(_xlpm.rango_f, _xlpm.filtro*(_xlpm.rango_t&gt;0), _xlpm.v_fecha), _xlpm.c_cants, _xlfn._xlws.FILTER(_xlpm.rango_t, _xlpm.filtro*(_xlpm.rango_t&gt;0), 0), _xlpm.v_acums_pasadas, ABS(SUMIFS(E163:E$1000, D163:D$1000, _xlpm.v_ticker, E163:E$1000,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3" spans="1:16" x14ac:dyDescent="0.45">
      <c r="A163" s="3" t="s">
        <v>49</v>
      </c>
      <c r="B163" s="4">
        <f t="shared" si="2"/>
        <v>45860</v>
      </c>
      <c r="C163" s="3" t="s">
        <v>90</v>
      </c>
      <c r="D163" s="3" t="s">
        <v>190</v>
      </c>
      <c r="E163" s="3">
        <v>6.5474489999999996E-2</v>
      </c>
      <c r="F163" s="3">
        <v>304.69880000000001</v>
      </c>
      <c r="G163" s="3">
        <v>-19.989999999999998</v>
      </c>
      <c r="H163" s="5">
        <v>18.621200000000002</v>
      </c>
      <c r="I163" s="8">
        <f>SUMIF(D163:D$1000,D163,E163:E$1000)</f>
        <v>6.5474489999999996E-2</v>
      </c>
      <c r="J163" s="9" cm="1">
        <f t="array" ref="J163">IF(I163&gt;IFERROR(_xlfn.XLOOKUP(D163,D164:D$1000,I164:I$1000,,0,1),0),(IFERROR(_xlfn.XLOOKUP(D163,D164:D$1000,J164:J$1000,,0,1),0)*IFERROR(_xlfn.XLOOKUP(D163,D164:D$1000,I164:I$1000,,0,1),0)-G163*H163)/I163,_xlfn.XLOOKUP(D163,D164:D$1000,J164:J$1000,,0,1))</f>
        <v>5685.2338674192051</v>
      </c>
      <c r="K163" s="10" cm="1">
        <f t="array" ref="K163">IFERROR(IF(I163&lt;_xlfn.XLOOKUP(D163,D164:D$1000,I164:I$1000,,0,1),G163*H163-_xlfn.XLOOKUP(D163,D164:D$1000,J164:J$1000,,0,1)*-E163,0),0)</f>
        <v>0</v>
      </c>
      <c r="L163" s="56">
        <v>140.78</v>
      </c>
      <c r="M163" s="56">
        <v>140.405</v>
      </c>
      <c r="N163" s="59" cm="1">
        <f t="array" ref="N163">IF(I163&gt;_xlfn.XLOOKUP(D163,D164:D$1000,I164:I$1000,0,0,1),(_xlfn.XLOOKUP(D163,D164:D$1000,N164:N$1000,0,0,1)*MAX(1,L163/_xlfn.XLOOKUP(D163,D164:D$1000,L164:L$1000,L163,0,1))*_xlfn.XLOOKUP(D163,D164:D$1000,I164:I$1000,0,0,1)-G163*H163)/I163,_xlfn.XLOOKUP(D163,D164:D$1000,N164:N$1000,,0,1)*MAX(1,L163/_xlfn.XLOOKUP(D163,D164:D$1000,L164:L$1000,,0,1)))</f>
        <v>5685.2338674192051</v>
      </c>
      <c r="O163" s="59" cm="1">
        <f t="array" ref="O163">IFERROR(IF(I163&lt;_xlfn.XLOOKUP(D163,D164:D$1000,I164:I$1000,,0,1),G163*H163-_xlfn.XLOOKUP(D163,D164:D$1000,N164:N$1000,,0,1)*-E163*MAX(1,M163/IFERROR(_xlfn.XLOOKUP(D163,D164:D$1000,L164:L$1000,,0,1),M163)),0),0)</f>
        <v>0</v>
      </c>
      <c r="P163" s="56" t="str" cm="1">
        <f t="array" ref="P163">IF(O163&lt;0,1,IF(E163&lt;0, _xlfn.LET(_xlpm.v_cant, ABS(E163), _xlpm.v_fecha, B163, _xlpm.v_ticker, D163, _xlpm.rango_f, B164:B$1000, _xlpm.rango_t, E164:E$1000, _xlpm.filtro, D164:D$1000=_xlpm.v_ticker, _xlpm.c_fechas, _xlfn._xlws.FILTER(_xlpm.rango_f, _xlpm.filtro*(_xlpm.rango_t&gt;0), _xlpm.v_fecha), _xlpm.c_cants, _xlfn._xlws.FILTER(_xlpm.rango_t, _xlpm.filtro*(_xlpm.rango_t&gt;0), 0), _xlpm.v_acums_pasadas, ABS(SUMIFS(E164:E$1000, D164:D$1000, _xlpm.v_ticker, E164:E$1000,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4" spans="1:16" x14ac:dyDescent="0.45">
      <c r="A164" s="3" t="s">
        <v>49</v>
      </c>
      <c r="B164" s="4">
        <f t="shared" si="2"/>
        <v>45860</v>
      </c>
      <c r="C164" s="3" t="s">
        <v>91</v>
      </c>
      <c r="D164" s="3" t="s">
        <v>124</v>
      </c>
      <c r="E164" s="3">
        <v>-1</v>
      </c>
      <c r="F164" s="3">
        <v>8.1813000000000002</v>
      </c>
      <c r="G164" s="3">
        <v>8.18</v>
      </c>
      <c r="H164" s="5">
        <v>18.621200000000002</v>
      </c>
      <c r="I164" s="8">
        <f>SUMIF(D164:D$1000,D164,E164:E$1000)</f>
        <v>6.7385427700000005</v>
      </c>
      <c r="J164" s="9" cm="1">
        <f t="array" ref="J164">IF(I164&gt;IFERROR(_xlfn.XLOOKUP(D164,D165:D$1000,I165:I$1000,,0,1),0),(IFERROR(_xlfn.XLOOKUP(D164,D165:D$1000,J165:J$1000,,0,1),0)*IFERROR(_xlfn.XLOOKUP(D164,D165:D$1000,I165:I$1000,,0,1),0)-G164*H164)/I164,_xlfn.XLOOKUP(D164,D165:D$1000,J165:J$1000,,0,1))</f>
        <v>62.123647684680961</v>
      </c>
      <c r="K164" s="10" cm="1">
        <f t="array" ref="K164">IFERROR(IF(I164&lt;_xlfn.XLOOKUP(D164,D165:D$1000,I165:I$1000,,0,1),G164*H164-_xlfn.XLOOKUP(D164,D165:D$1000,J165:J$1000,,0,1)*-E164,0),0)</f>
        <v>90.197768315319038</v>
      </c>
      <c r="L164" s="56">
        <v>140.78</v>
      </c>
      <c r="M164" s="56">
        <v>140.405</v>
      </c>
      <c r="N164" s="59" cm="1">
        <f t="array" ref="N164">IF(I164&gt;_xlfn.XLOOKUP(D164,D165:D$1000,I165:I$1000,0,0,1),(_xlfn.XLOOKUP(D164,D165:D$1000,N165:N$1000,0,0,1)*MAX(1,L164/_xlfn.XLOOKUP(D164,D165:D$1000,L165:L$1000,L164,0,1))*_xlfn.XLOOKUP(D164,D165:D$1000,I165:I$1000,0,0,1)-G164*H164)/I164,_xlfn.XLOOKUP(D164,D165:D$1000,N165:N$1000,,0,1)*MAX(1,L164/_xlfn.XLOOKUP(D164,D165:D$1000,L165:L$1000,,0,1)))</f>
        <v>63.398553965953973</v>
      </c>
      <c r="O164" s="59" cm="1">
        <f t="array" ref="O164">IFERROR(IF(I164&lt;_xlfn.XLOOKUP(D164,D165:D$1000,I165:I$1000,,0,1),G164*H164-_xlfn.XLOOKUP(D164,D165:D$1000,N165:N$1000,,0,1)*-E164*MAX(1,M164/IFERROR(_xlfn.XLOOKUP(D164,D165:D$1000,L165:L$1000,,0,1),M164)),0),0)</f>
        <v>88.922862034046034</v>
      </c>
      <c r="P164" s="56" cm="1">
        <f t="array" ref="P164">IF(O164&lt;0,1,IF(E164&lt;0, _xlfn.LET(_xlpm.v_cant, ABS(E164), _xlpm.v_fecha, B164, _xlpm.v_ticker, D164, _xlpm.rango_f, B165:B$1000, _xlpm.rango_t, E165:E$1000, _xlpm.filtro, D165:D$1000=_xlpm.v_ticker, _xlpm.c_fechas, _xlfn._xlws.FILTER(_xlpm.rango_f, _xlpm.filtro*(_xlpm.rango_t&gt;0), _xlpm.v_fecha), _xlpm.c_cants, _xlfn._xlws.FILTER(_xlpm.rango_t, _xlpm.filtro*(_xlpm.rango_t&gt;0), 0), _xlpm.v_acums_pasadas, ABS(SUMIFS(E165:E$1000, D165:D$1000, _xlpm.v_ticker, E165:E$1000,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65" spans="1:16" x14ac:dyDescent="0.45">
      <c r="A165" s="3" t="s">
        <v>49</v>
      </c>
      <c r="B165" s="4">
        <f t="shared" si="2"/>
        <v>45860</v>
      </c>
      <c r="C165" s="3" t="s">
        <v>91</v>
      </c>
      <c r="D165" s="3" t="s">
        <v>124</v>
      </c>
      <c r="E165" s="3">
        <v>-0.22474422999999999</v>
      </c>
      <c r="F165" s="3">
        <v>8.1813000000000002</v>
      </c>
      <c r="G165" s="3">
        <v>1.82</v>
      </c>
      <c r="H165" s="5">
        <v>18.621200000000002</v>
      </c>
      <c r="I165" s="8">
        <f>SUMIF(D165:D$1000,D165,E165:E$1000)</f>
        <v>7.7385427700000005</v>
      </c>
      <c r="J165" s="9" cm="1">
        <f t="array" ref="J165">IF(I165&gt;IFERROR(_xlfn.XLOOKUP(D165,D166:D$1000,I166:I$1000,,0,1),0),(IFERROR(_xlfn.XLOOKUP(D165,D166:D$1000,J166:J$1000,,0,1),0)*IFERROR(_xlfn.XLOOKUP(D165,D166:D$1000,I166:I$1000,,0,1),0)-G165*H165)/I165,_xlfn.XLOOKUP(D165,D166:D$1000,J166:J$1000,,0,1))</f>
        <v>62.123647684680961</v>
      </c>
      <c r="K165" s="10" cm="1">
        <f t="array" ref="K165">IFERROR(IF(I165&lt;_xlfn.XLOOKUP(D165,D166:D$1000,I166:I$1000,,0,1),G165*H165-_xlfn.XLOOKUP(D165,D166:D$1000,J166:J$1000,,0,1)*-E165,0),0)</f>
        <v>19.9286526363151</v>
      </c>
      <c r="L165" s="56">
        <v>140.78</v>
      </c>
      <c r="M165" s="56">
        <v>140.405</v>
      </c>
      <c r="N165" s="59" cm="1">
        <f t="array" ref="N165">IF(I165&gt;_xlfn.XLOOKUP(D165,D166:D$1000,I166:I$1000,0,0,1),(_xlfn.XLOOKUP(D165,D166:D$1000,N166:N$1000,0,0,1)*MAX(1,L165/_xlfn.XLOOKUP(D165,D166:D$1000,L166:L$1000,L165,0,1))*_xlfn.XLOOKUP(D165,D166:D$1000,I166:I$1000,0,0,1)-G165*H165)/I165,_xlfn.XLOOKUP(D165,D166:D$1000,N166:N$1000,,0,1)*MAX(1,L165/_xlfn.XLOOKUP(D165,D166:D$1000,L166:L$1000,,0,1)))</f>
        <v>63.398553965953973</v>
      </c>
      <c r="O165" s="59" cm="1">
        <f t="array" ref="O165">IFERROR(IF(I165&lt;_xlfn.XLOOKUP(D165,D166:D$1000,I166:I$1000,,0,1),G165*H165-_xlfn.XLOOKUP(D165,D166:D$1000,N166:N$1000,,0,1)*-E165*MAX(1,M165/IFERROR(_xlfn.XLOOKUP(D165,D166:D$1000,L166:L$1000,,0,1),M165)),0),0)</f>
        <v>19.680078863187276</v>
      </c>
      <c r="P165" s="56" cm="1">
        <f t="array" ref="P165">IF(O165&lt;0,1,IF(E165&lt;0, _xlfn.LET(_xlpm.v_cant, ABS(E165), _xlpm.v_fecha, B165, _xlpm.v_ticker, D165, _xlpm.rango_f, B166:B$1000, _xlpm.rango_t, E166:E$1000, _xlpm.filtro, D166:D$1000=_xlpm.v_ticker, _xlpm.c_fechas, _xlfn._xlws.FILTER(_xlpm.rango_f, _xlpm.filtro*(_xlpm.rango_t&gt;0), _xlpm.v_fecha), _xlpm.c_cants, _xlfn._xlws.FILTER(_xlpm.rango_t, _xlpm.filtro*(_xlpm.rango_t&gt;0), 0), _xlpm.v_acums_pasadas, ABS(SUMIFS(E166:E$1000, D166:D$1000, _xlpm.v_ticker, E166:E$1000,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166" spans="1:16" x14ac:dyDescent="0.45">
      <c r="A166" s="3" t="s">
        <v>48</v>
      </c>
      <c r="B166" s="4">
        <f t="shared" si="2"/>
        <v>45848</v>
      </c>
      <c r="C166" s="3" t="s">
        <v>90</v>
      </c>
      <c r="D166" s="3" t="s">
        <v>187</v>
      </c>
      <c r="E166" s="3">
        <v>0.44652048999999999</v>
      </c>
      <c r="F166" s="3">
        <v>44.678800000000003</v>
      </c>
      <c r="G166" s="3">
        <v>-19.989999999999998</v>
      </c>
      <c r="H166" s="5">
        <v>18.6267</v>
      </c>
      <c r="I166" s="8">
        <f>SUMIF(D166:D$1000,D166,E166:E$1000)</f>
        <v>0.54838814999999996</v>
      </c>
      <c r="J166" s="9" cm="1">
        <f t="array" ref="J166">IF(I166&gt;IFERROR(_xlfn.XLOOKUP(D166,D167:D$1000,I167:I$1000,,0,1),0),(IFERROR(_xlfn.XLOOKUP(D166,D167:D$1000,J167:J$1000,,0,1),0)*IFERROR(_xlfn.XLOOKUP(D166,D167:D$1000,I167:I$1000,,0,1),0)-G166*H166)/I166,_xlfn.XLOOKUP(D166,D167:D$1000,J167:J$1000,,0,1))</f>
        <v>809.3192878073678</v>
      </c>
      <c r="K166" s="10" cm="1">
        <f t="array" ref="K166">IFERROR(IF(I166&lt;_xlfn.XLOOKUP(D166,D167:D$1000,I167:I$1000,,0,1),G166*H166-_xlfn.XLOOKUP(D166,D167:D$1000,J167:J$1000,,0,1)*-E166,0),0)</f>
        <v>0</v>
      </c>
      <c r="L166" s="56">
        <v>140.78</v>
      </c>
      <c r="M166" s="56">
        <v>140.405</v>
      </c>
      <c r="N166" s="59" cm="1">
        <f t="array" ref="N166">IF(I166&gt;_xlfn.XLOOKUP(D166,D167:D$1000,I167:I$1000,0,0,1),(_xlfn.XLOOKUP(D166,D167:D$1000,N167:N$1000,0,0,1)*MAX(1,L166/_xlfn.XLOOKUP(D166,D167:D$1000,L167:L$1000,L166,0,1))*_xlfn.XLOOKUP(D166,D167:D$1000,I167:I$1000,0,0,1)-G166*H166)/I166,_xlfn.XLOOKUP(D166,D167:D$1000,N167:N$1000,,0,1)*MAX(1,L166/_xlfn.XLOOKUP(D166,D167:D$1000,L167:L$1000,,0,1)))</f>
        <v>809.66738852314529</v>
      </c>
      <c r="O166" s="59" cm="1">
        <f t="array" ref="O166">IFERROR(IF(I166&lt;_xlfn.XLOOKUP(D166,D167:D$1000,I167:I$1000,,0,1),G166*H166-_xlfn.XLOOKUP(D166,D167:D$1000,N167:N$1000,,0,1)*-E166*MAX(1,M166/IFERROR(_xlfn.XLOOKUP(D166,D167:D$1000,L167:L$1000,,0,1),M166)),0),0)</f>
        <v>0</v>
      </c>
      <c r="P166" s="56" t="str" cm="1">
        <f t="array" ref="P166">IF(O166&lt;0,1,IF(E166&lt;0, _xlfn.LET(_xlpm.v_cant, ABS(E166), _xlpm.v_fecha, B166, _xlpm.v_ticker, D166, _xlpm.rango_f, B167:B$1000, _xlpm.rango_t, E167:E$1000, _xlpm.filtro, D167:D$1000=_xlpm.v_ticker, _xlpm.c_fechas, _xlfn._xlws.FILTER(_xlpm.rango_f, _xlpm.filtro*(_xlpm.rango_t&gt;0), _xlpm.v_fecha), _xlpm.c_cants, _xlfn._xlws.FILTER(_xlpm.rango_t, _xlpm.filtro*(_xlpm.rango_t&gt;0), 0), _xlpm.v_acums_pasadas, ABS(SUMIFS(E167:E$1000, D167:D$1000, _xlpm.v_ticker, E167:E$1000,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7" spans="1:16" x14ac:dyDescent="0.45">
      <c r="A167" s="3" t="s">
        <v>48</v>
      </c>
      <c r="B167" s="4">
        <f t="shared" si="2"/>
        <v>45848</v>
      </c>
      <c r="C167" s="3" t="s">
        <v>90</v>
      </c>
      <c r="D167" s="3" t="s">
        <v>188</v>
      </c>
      <c r="E167" s="3">
        <v>7.42883E-3</v>
      </c>
      <c r="F167" s="3">
        <v>2416.2588000000001</v>
      </c>
      <c r="G167" s="3">
        <v>-17.989999999999998</v>
      </c>
      <c r="H167" s="5">
        <v>18.6267</v>
      </c>
      <c r="I167" s="8">
        <f>SUMIF(D167:D$1000,D167,E167:E$1000)</f>
        <v>1.0770500000000001E-2</v>
      </c>
      <c r="J167" s="9" cm="1">
        <f t="array" ref="J167">IF(I167&gt;IFERROR(_xlfn.XLOOKUP(D167,D168:D$1000,I168:I$1000,,0,1),0),(IFERROR(_xlfn.XLOOKUP(D167,D168:D$1000,J168:J$1000,,0,1),0)*IFERROR(_xlfn.XLOOKUP(D167,D168:D$1000,I168:I$1000,,0,1),0)-G167*H167)/I167,_xlfn.XLOOKUP(D167,D168:D$1000,J168:J$1000,,0,1))</f>
        <v>46440.586138062296</v>
      </c>
      <c r="K167" s="10" cm="1">
        <f t="array" ref="K167">IFERROR(IF(I167&lt;_xlfn.XLOOKUP(D167,D168:D$1000,I168:I$1000,,0,1),G167*H167-_xlfn.XLOOKUP(D167,D168:D$1000,J168:J$1000,,0,1)*-E167,0),0)</f>
        <v>0</v>
      </c>
      <c r="L167" s="56">
        <v>140.78</v>
      </c>
      <c r="M167" s="56">
        <v>140.405</v>
      </c>
      <c r="N167" s="59" cm="1">
        <f t="array" ref="N167">IF(I167&gt;_xlfn.XLOOKUP(D167,D168:D$1000,I168:I$1000,0,0,1),(_xlfn.XLOOKUP(D167,D168:D$1000,N168:N$1000,0,0,1)*MAX(1,L167/_xlfn.XLOOKUP(D167,D168:D$1000,L168:L$1000,L167,0,1))*_xlfn.XLOOKUP(D167,D168:D$1000,I168:I$1000,0,0,1)-G167*H167)/I167,_xlfn.XLOOKUP(D167,D168:D$1000,N168:N$1000,,0,1)*MAX(1,L167/_xlfn.XLOOKUP(D167,D168:D$1000,L168:L$1000,,0,1)))</f>
        <v>46524.665883019938</v>
      </c>
      <c r="O167" s="59" cm="1">
        <f t="array" ref="O167">IFERROR(IF(I167&lt;_xlfn.XLOOKUP(D167,D168:D$1000,I168:I$1000,,0,1),G167*H167-_xlfn.XLOOKUP(D167,D168:D$1000,N168:N$1000,,0,1)*-E167*MAX(1,M167/IFERROR(_xlfn.XLOOKUP(D167,D168:D$1000,L168:L$1000,,0,1),M167)),0),0)</f>
        <v>0</v>
      </c>
      <c r="P167" s="56" t="str" cm="1">
        <f t="array" ref="P167">IF(O167&lt;0,1,IF(E167&lt;0, _xlfn.LET(_xlpm.v_cant, ABS(E167), _xlpm.v_fecha, B167, _xlpm.v_ticker, D167, _xlpm.rango_f, B168:B$1000, _xlpm.rango_t, E168:E$1000, _xlpm.filtro, D168:D$1000=_xlpm.v_ticker, _xlpm.c_fechas, _xlfn._xlws.FILTER(_xlpm.rango_f, _xlpm.filtro*(_xlpm.rango_t&gt;0), _xlpm.v_fecha), _xlpm.c_cants, _xlfn._xlws.FILTER(_xlpm.rango_t, _xlpm.filtro*(_xlpm.rango_t&gt;0), 0), _xlpm.v_acums_pasadas, ABS(SUMIFS(E168:E$1000, D168:D$1000, _xlpm.v_ticker, E168:E$1000,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8" spans="1:16" x14ac:dyDescent="0.45">
      <c r="A168" s="3" t="s">
        <v>48</v>
      </c>
      <c r="B168" s="4">
        <f t="shared" si="2"/>
        <v>45848</v>
      </c>
      <c r="C168" s="3" t="s">
        <v>90</v>
      </c>
      <c r="D168" s="3" t="s">
        <v>189</v>
      </c>
      <c r="E168" s="3">
        <v>4.7051259999999998E-2</v>
      </c>
      <c r="F168" s="3">
        <v>381.49880000000002</v>
      </c>
      <c r="G168" s="3">
        <v>-17.989999999999998</v>
      </c>
      <c r="H168" s="5">
        <v>18.6267</v>
      </c>
      <c r="I168" s="8">
        <f>SUMIF(D168:D$1000,D168,E168:E$1000)</f>
        <v>0.10604206999999999</v>
      </c>
      <c r="J168" s="9" cm="1">
        <f t="array" ref="J168">IF(I168&gt;IFERROR(_xlfn.XLOOKUP(D168,D169:D$1000,I169:I$1000,,0,1),0),(IFERROR(_xlfn.XLOOKUP(D168,D169:D$1000,J169:J$1000,,0,1),0)*IFERROR(_xlfn.XLOOKUP(D168,D169:D$1000,I169:I$1000,,0,1),0)-G168*H168)/I168,_xlfn.XLOOKUP(D168,D169:D$1000,J169:J$1000,,0,1))</f>
        <v>5907.6502373067606</v>
      </c>
      <c r="K168" s="10" cm="1">
        <f t="array" ref="K168">IFERROR(IF(I168&lt;_xlfn.XLOOKUP(D168,D169:D$1000,I169:I$1000,,0,1),G168*H168-_xlfn.XLOOKUP(D168,D169:D$1000,J169:J$1000,,0,1)*-E168,0),0)</f>
        <v>0</v>
      </c>
      <c r="L168" s="56">
        <v>140.78</v>
      </c>
      <c r="M168" s="56">
        <v>140.405</v>
      </c>
      <c r="N168" s="59" cm="1">
        <f t="array" ref="N168">IF(I168&gt;_xlfn.XLOOKUP(D168,D169:D$1000,I169:I$1000,0,0,1),(_xlfn.XLOOKUP(D168,D169:D$1000,N169:N$1000,0,0,1)*MAX(1,L168/_xlfn.XLOOKUP(D168,D169:D$1000,L169:L$1000,L168,0,1))*_xlfn.XLOOKUP(D168,D169:D$1000,I169:I$1000,0,0,1)-G168*H168)/I168,_xlfn.XLOOKUP(D168,D169:D$1000,N169:N$1000,,0,1)*MAX(1,L168/_xlfn.XLOOKUP(D168,D169:D$1000,L169:L$1000,,0,1)))</f>
        <v>5922.7216976263562</v>
      </c>
      <c r="O168" s="59" cm="1">
        <f t="array" ref="O168">IFERROR(IF(I168&lt;_xlfn.XLOOKUP(D168,D169:D$1000,I169:I$1000,,0,1),G168*H168-_xlfn.XLOOKUP(D168,D169:D$1000,N169:N$1000,,0,1)*-E168*MAX(1,M168/IFERROR(_xlfn.XLOOKUP(D168,D169:D$1000,L169:L$1000,,0,1),M168)),0),0)</f>
        <v>0</v>
      </c>
      <c r="P168" s="56" t="str" cm="1">
        <f t="array" ref="P168">IF(O168&lt;0,1,IF(E168&lt;0, _xlfn.LET(_xlpm.v_cant, ABS(E168), _xlpm.v_fecha, B168, _xlpm.v_ticker, D168, _xlpm.rango_f, B169:B$1000, _xlpm.rango_t, E169:E$1000, _xlpm.filtro, D169:D$1000=_xlpm.v_ticker, _xlpm.c_fechas, _xlfn._xlws.FILTER(_xlpm.rango_f, _xlpm.filtro*(_xlpm.rango_t&gt;0), _xlpm.v_fecha), _xlpm.c_cants, _xlfn._xlws.FILTER(_xlpm.rango_t, _xlpm.filtro*(_xlpm.rango_t&gt;0), 0), _xlpm.v_acums_pasadas, ABS(SUMIFS(E169:E$1000, D169:D$1000, _xlpm.v_ticker, E169:E$1000,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69" spans="1:16" x14ac:dyDescent="0.45">
      <c r="A169" s="3" t="s">
        <v>48</v>
      </c>
      <c r="B169" s="4">
        <f t="shared" si="2"/>
        <v>45848</v>
      </c>
      <c r="C169" s="3" t="s">
        <v>90</v>
      </c>
      <c r="D169" s="3" t="s">
        <v>132</v>
      </c>
      <c r="E169" s="3">
        <v>0.38570454999999998</v>
      </c>
      <c r="F169" s="3">
        <v>25.848800000000001</v>
      </c>
      <c r="G169" s="3">
        <v>-9.99</v>
      </c>
      <c r="H169" s="5">
        <v>18.6267</v>
      </c>
      <c r="I169" s="8">
        <f>SUMIF(D169:D$1000,D169,E169:E$1000)</f>
        <v>1.3905640800000001</v>
      </c>
      <c r="J169" s="9" cm="1">
        <f t="array" ref="J169">IF(I169&gt;IFERROR(_xlfn.XLOOKUP(D169,D170:D$1000,I170:I$1000,,0,1),0),(IFERROR(_xlfn.XLOOKUP(D169,D170:D$1000,J170:J$1000,,0,1),0)*IFERROR(_xlfn.XLOOKUP(D169,D170:D$1000,I170:I$1000,,0,1),0)-G169*H169)/I169,_xlfn.XLOOKUP(D169,D170:D$1000,J170:J$1000,,0,1))</f>
        <v>577.29509667760146</v>
      </c>
      <c r="K169" s="10" cm="1">
        <f t="array" ref="K169">IFERROR(IF(I169&lt;_xlfn.XLOOKUP(D169,D170:D$1000,I170:I$1000,,0,1),G169*H169-_xlfn.XLOOKUP(D169,D170:D$1000,J170:J$1000,,0,1)*-E169,0),0)</f>
        <v>0</v>
      </c>
      <c r="L169" s="56">
        <v>140.78</v>
      </c>
      <c r="M169" s="56">
        <v>140.405</v>
      </c>
      <c r="N169" s="59" cm="1">
        <f t="array" ref="N169">IF(I169&gt;_xlfn.XLOOKUP(D169,D170:D$1000,I170:I$1000,0,0,1),(_xlfn.XLOOKUP(D169,D170:D$1000,N170:N$1000,0,0,1)*MAX(1,L169/_xlfn.XLOOKUP(D169,D170:D$1000,L170:L$1000,L169,0,1))*_xlfn.XLOOKUP(D169,D170:D$1000,I170:I$1000,0,0,1)-G169*H169)/I169,_xlfn.XLOOKUP(D169,D170:D$1000,N170:N$1000,,0,1)*MAX(1,L169/_xlfn.XLOOKUP(D169,D170:D$1000,L170:L$1000,,0,1)))</f>
        <v>583.86131045585455</v>
      </c>
      <c r="O169" s="59" cm="1">
        <f t="array" ref="O169">IFERROR(IF(I169&lt;_xlfn.XLOOKUP(D169,D170:D$1000,I170:I$1000,,0,1),G169*H169-_xlfn.XLOOKUP(D169,D170:D$1000,N170:N$1000,,0,1)*-E169*MAX(1,M169/IFERROR(_xlfn.XLOOKUP(D169,D170:D$1000,L170:L$1000,,0,1),M169)),0),0)</f>
        <v>0</v>
      </c>
      <c r="P169" s="56" t="str" cm="1">
        <f t="array" ref="P169">IF(O169&lt;0,1,IF(E169&lt;0, _xlfn.LET(_xlpm.v_cant, ABS(E169), _xlpm.v_fecha, B169, _xlpm.v_ticker, D169, _xlpm.rango_f, B170:B$1000, _xlpm.rango_t, E170:E$1000, _xlpm.filtro, D170:D$1000=_xlpm.v_ticker, _xlpm.c_fechas, _xlfn._xlws.FILTER(_xlpm.rango_f, _xlpm.filtro*(_xlpm.rango_t&gt;0), _xlpm.v_fecha), _xlpm.c_cants, _xlfn._xlws.FILTER(_xlpm.rango_t, _xlpm.filtro*(_xlpm.rango_t&gt;0), 0), _xlpm.v_acums_pasadas, ABS(SUMIFS(E170:E$1000, D170:D$1000, _xlpm.v_ticker, E170:E$1000,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0" spans="1:16" x14ac:dyDescent="0.45">
      <c r="A170" s="3" t="s">
        <v>48</v>
      </c>
      <c r="B170" s="4">
        <f t="shared" si="2"/>
        <v>45848</v>
      </c>
      <c r="C170" s="3" t="s">
        <v>90</v>
      </c>
      <c r="D170" s="3" t="s">
        <v>168</v>
      </c>
      <c r="E170" s="3">
        <v>0.53218613999999997</v>
      </c>
      <c r="F170" s="3">
        <v>33.7288</v>
      </c>
      <c r="G170" s="3">
        <v>-17.989999999999998</v>
      </c>
      <c r="H170" s="5">
        <v>18.6267</v>
      </c>
      <c r="I170" s="8">
        <f>SUMIF(D170:D$1000,D170,E170:E$1000)</f>
        <v>1.1217251400000001</v>
      </c>
      <c r="J170" s="9" cm="1">
        <f t="array" ref="J170">IF(I170&gt;IFERROR(_xlfn.XLOOKUP(D170,D171:D$1000,I171:I$1000,,0,1),0),(IFERROR(_xlfn.XLOOKUP(D170,D171:D$1000,J171:J$1000,,0,1),0)*IFERROR(_xlfn.XLOOKUP(D170,D171:D$1000,I171:I$1000,,0,1),0)-G170*H170)/I170,_xlfn.XLOOKUP(D170,D171:D$1000,J171:J$1000,,0,1))</f>
        <v>642.22291122047943</v>
      </c>
      <c r="K170" s="10" cm="1">
        <f t="array" ref="K170">IFERROR(IF(I170&lt;_xlfn.XLOOKUP(D170,D171:D$1000,I171:I$1000,,0,1),G170*H170-_xlfn.XLOOKUP(D170,D171:D$1000,J171:J$1000,,0,1)*-E170,0),0)</f>
        <v>0</v>
      </c>
      <c r="L170" s="56">
        <v>140.78</v>
      </c>
      <c r="M170" s="56">
        <v>140.405</v>
      </c>
      <c r="N170" s="59" cm="1">
        <f t="array" ref="N170">IF(I170&gt;_xlfn.XLOOKUP(D170,D171:D$1000,I171:I$1000,0,0,1),(_xlfn.XLOOKUP(D170,D171:D$1000,N171:N$1000,0,0,1)*MAX(1,L170/_xlfn.XLOOKUP(D170,D171:D$1000,L171:L$1000,L170,0,1))*_xlfn.XLOOKUP(D170,D171:D$1000,I171:I$1000,0,0,1)-G170*H170)/I170,_xlfn.XLOOKUP(D170,D171:D$1000,N171:N$1000,,0,1)*MAX(1,L170/_xlfn.XLOOKUP(D170,D171:D$1000,L171:L$1000,,0,1)))</f>
        <v>644.10704693503988</v>
      </c>
      <c r="O170" s="59" cm="1">
        <f t="array" ref="O170">IFERROR(IF(I170&lt;_xlfn.XLOOKUP(D170,D171:D$1000,I171:I$1000,,0,1),G170*H170-_xlfn.XLOOKUP(D170,D171:D$1000,N171:N$1000,,0,1)*-E170*MAX(1,M170/IFERROR(_xlfn.XLOOKUP(D170,D171:D$1000,L171:L$1000,,0,1),M170)),0),0)</f>
        <v>0</v>
      </c>
      <c r="P170" s="56" t="str" cm="1">
        <f t="array" ref="P170">IF(O170&lt;0,1,IF(E170&lt;0, _xlfn.LET(_xlpm.v_cant, ABS(E170), _xlpm.v_fecha, B170, _xlpm.v_ticker, D170, _xlpm.rango_f, B171:B$1000, _xlpm.rango_t, E171:E$1000, _xlpm.filtro, D171:D$1000=_xlpm.v_ticker, _xlpm.c_fechas, _xlfn._xlws.FILTER(_xlpm.rango_f, _xlpm.filtro*(_xlpm.rango_t&gt;0), _xlpm.v_fecha), _xlpm.c_cants, _xlfn._xlws.FILTER(_xlpm.rango_t, _xlpm.filtro*(_xlpm.rango_t&gt;0), 0), _xlpm.v_acums_pasadas, ABS(SUMIFS(E171:E$1000, D171:D$1000, _xlpm.v_ticker, E171:E$1000,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1" spans="1:16" x14ac:dyDescent="0.45">
      <c r="A171" s="3" t="s">
        <v>48</v>
      </c>
      <c r="B171" s="4">
        <f t="shared" si="2"/>
        <v>45848</v>
      </c>
      <c r="C171" s="3" t="s">
        <v>90</v>
      </c>
      <c r="D171" s="3" t="s">
        <v>121</v>
      </c>
      <c r="E171" s="3">
        <v>1</v>
      </c>
      <c r="F171" s="3">
        <v>8.5687999999999995</v>
      </c>
      <c r="G171" s="3">
        <v>-8.57</v>
      </c>
      <c r="H171" s="5">
        <v>18.6267</v>
      </c>
      <c r="I171" s="8">
        <f>SUMIF(D171:D$1000,D171,E171:E$1000)</f>
        <v>13.740560080000002</v>
      </c>
      <c r="J171" s="9" cm="1">
        <f t="array" ref="J171">IF(I171&gt;IFERROR(_xlfn.XLOOKUP(D171,D172:D$1000,I172:I$1000,,0,1),0),(IFERROR(_xlfn.XLOOKUP(D171,D172:D$1000,J172:J$1000,,0,1),0)*IFERROR(_xlfn.XLOOKUP(D171,D172:D$1000,I172:I$1000,,0,1),0)-G171*H171)/I171,_xlfn.XLOOKUP(D171,D172:D$1000,J172:J$1000,,0,1))</f>
        <v>114.27753198252452</v>
      </c>
      <c r="K171" s="10" cm="1">
        <f t="array" ref="K171">IFERROR(IF(I171&lt;_xlfn.XLOOKUP(D171,D172:D$1000,I172:I$1000,,0,1),G171*H171-_xlfn.XLOOKUP(D171,D172:D$1000,J172:J$1000,,0,1)*-E171,0),0)</f>
        <v>0</v>
      </c>
      <c r="L171" s="56">
        <v>140.78</v>
      </c>
      <c r="M171" s="56">
        <v>140.405</v>
      </c>
      <c r="N171" s="59" cm="1">
        <f t="array" ref="N171">IF(I171&gt;_xlfn.XLOOKUP(D171,D172:D$1000,I172:I$1000,0,0,1),(_xlfn.XLOOKUP(D171,D172:D$1000,N172:N$1000,0,0,1)*MAX(1,L171/_xlfn.XLOOKUP(D171,D172:D$1000,L172:L$1000,L171,0,1))*_xlfn.XLOOKUP(D171,D172:D$1000,I172:I$1000,0,0,1)-G171*H171)/I171,_xlfn.XLOOKUP(D171,D172:D$1000,N172:N$1000,,0,1)*MAX(1,L171/_xlfn.XLOOKUP(D171,D172:D$1000,L172:L$1000,,0,1)))</f>
        <v>115.88366705462894</v>
      </c>
      <c r="O171" s="59" cm="1">
        <f t="array" ref="O171">IFERROR(IF(I171&lt;_xlfn.XLOOKUP(D171,D172:D$1000,I172:I$1000,,0,1),G171*H171-_xlfn.XLOOKUP(D171,D172:D$1000,N172:N$1000,,0,1)*-E171*MAX(1,M171/IFERROR(_xlfn.XLOOKUP(D171,D172:D$1000,L172:L$1000,,0,1),M171)),0),0)</f>
        <v>0</v>
      </c>
      <c r="P171" s="56" t="str" cm="1">
        <f t="array" ref="P171">IF(O171&lt;0,1,IF(E171&lt;0, _xlfn.LET(_xlpm.v_cant, ABS(E171), _xlpm.v_fecha, B171, _xlpm.v_ticker, D171, _xlpm.rango_f, B172:B$1000, _xlpm.rango_t, E172:E$1000, _xlpm.filtro, D172:D$1000=_xlpm.v_ticker, _xlpm.c_fechas, _xlfn._xlws.FILTER(_xlpm.rango_f, _xlpm.filtro*(_xlpm.rango_t&gt;0), _xlpm.v_fecha), _xlpm.c_cants, _xlfn._xlws.FILTER(_xlpm.rango_t, _xlpm.filtro*(_xlpm.rango_t&gt;0), 0), _xlpm.v_acums_pasadas, ABS(SUMIFS(E172:E$1000, D172:D$1000, _xlpm.v_ticker, E172:E$1000,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2" spans="1:16" x14ac:dyDescent="0.45">
      <c r="A172" s="3" t="s">
        <v>48</v>
      </c>
      <c r="B172" s="4">
        <f t="shared" si="2"/>
        <v>45848</v>
      </c>
      <c r="C172" s="3" t="s">
        <v>90</v>
      </c>
      <c r="D172" s="3" t="s">
        <v>121</v>
      </c>
      <c r="E172" s="3">
        <v>0.74586872999999998</v>
      </c>
      <c r="F172" s="3">
        <v>8.5687999999999995</v>
      </c>
      <c r="G172" s="3">
        <v>-6.42</v>
      </c>
      <c r="H172" s="5">
        <v>18.6267</v>
      </c>
      <c r="I172" s="8">
        <f>SUMIF(D172:D$1000,D172,E172:E$1000)</f>
        <v>12.740560080000002</v>
      </c>
      <c r="J172" s="9" cm="1">
        <f t="array" ref="J172">IF(I172&gt;IFERROR(_xlfn.XLOOKUP(D172,D173:D$1000,I173:I$1000,,0,1),0),(IFERROR(_xlfn.XLOOKUP(D172,D173:D$1000,J173:J$1000,,0,1),0)*IFERROR(_xlfn.XLOOKUP(D172,D173:D$1000,I173:I$1000,,0,1),0)-G172*H172)/I172,_xlfn.XLOOKUP(D172,D173:D$1000,J173:J$1000,,0,1))</f>
        <v>110.71777583894095</v>
      </c>
      <c r="K172" s="10" cm="1">
        <f t="array" ref="K172">IFERROR(IF(I172&lt;_xlfn.XLOOKUP(D172,D173:D$1000,I173:I$1000,,0,1),G172*H172-_xlfn.XLOOKUP(D172,D173:D$1000,J173:J$1000,,0,1)*-E172,0),0)</f>
        <v>0</v>
      </c>
      <c r="L172" s="56">
        <v>140.78</v>
      </c>
      <c r="M172" s="56">
        <v>140.405</v>
      </c>
      <c r="N172" s="59" cm="1">
        <f t="array" ref="N172">IF(I172&gt;_xlfn.XLOOKUP(D172,D173:D$1000,I173:I$1000,0,0,1),(_xlfn.XLOOKUP(D172,D173:D$1000,N173:N$1000,0,0,1)*MAX(1,L172/_xlfn.XLOOKUP(D172,D173:D$1000,L173:L$1000,L172,0,1))*_xlfn.XLOOKUP(D172,D173:D$1000,I173:I$1000,0,0,1)-G172*H172)/I172,_xlfn.XLOOKUP(D172,D173:D$1000,N173:N$1000,,0,1)*MAX(1,L172/_xlfn.XLOOKUP(D172,D173:D$1000,L173:L$1000,,0,1)))</f>
        <v>112.44997562578472</v>
      </c>
      <c r="O172" s="59" cm="1">
        <f t="array" ref="O172">IFERROR(IF(I172&lt;_xlfn.XLOOKUP(D172,D173:D$1000,I173:I$1000,,0,1),G172*H172-_xlfn.XLOOKUP(D172,D173:D$1000,N173:N$1000,,0,1)*-E172*MAX(1,M172/IFERROR(_xlfn.XLOOKUP(D172,D173:D$1000,L173:L$1000,,0,1),M172)),0),0)</f>
        <v>0</v>
      </c>
      <c r="P172" s="56" t="str" cm="1">
        <f t="array" ref="P172">IF(O172&lt;0,1,IF(E172&lt;0, _xlfn.LET(_xlpm.v_cant, ABS(E172), _xlpm.v_fecha, B172, _xlpm.v_ticker, D172, _xlpm.rango_f, B173:B$1000, _xlpm.rango_t, E173:E$1000, _xlpm.filtro, D173:D$1000=_xlpm.v_ticker, _xlpm.c_fechas, _xlfn._xlws.FILTER(_xlpm.rango_f, _xlpm.filtro*(_xlpm.rango_t&gt;0), _xlpm.v_fecha), _xlpm.c_cants, _xlfn._xlws.FILTER(_xlpm.rango_t, _xlpm.filtro*(_xlpm.rango_t&gt;0), 0), _xlpm.v_acums_pasadas, ABS(SUMIFS(E173:E$1000, D173:D$1000, _xlpm.v_ticker, E173:E$1000,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3" spans="1:16" x14ac:dyDescent="0.45">
      <c r="A173" s="3" t="s">
        <v>48</v>
      </c>
      <c r="B173" s="4">
        <f t="shared" si="2"/>
        <v>45848</v>
      </c>
      <c r="C173" s="3" t="s">
        <v>90</v>
      </c>
      <c r="D173" s="3" t="s">
        <v>127</v>
      </c>
      <c r="E173" s="3">
        <v>2.8628219999999999E-2</v>
      </c>
      <c r="F173" s="3">
        <v>418.11880000000002</v>
      </c>
      <c r="G173" s="3">
        <v>-11.99</v>
      </c>
      <c r="H173" s="5">
        <v>18.6267</v>
      </c>
      <c r="I173" s="8">
        <f>SUMIF(D173:D$1000,D173,E173:E$1000)</f>
        <v>0.30807024</v>
      </c>
      <c r="J173" s="9" cm="1">
        <f t="array" ref="J173">IF(I173&gt;IFERROR(_xlfn.XLOOKUP(D173,D174:D$1000,I174:I$1000,,0,1),0),(IFERROR(_xlfn.XLOOKUP(D173,D174:D$1000,J174:J$1000,,0,1),0)*IFERROR(_xlfn.XLOOKUP(D173,D174:D$1000,I174:I$1000,,0,1),0)-G173*H173)/I173,_xlfn.XLOOKUP(D173,D174:D$1000,J174:J$1000,,0,1))</f>
        <v>4595.9076021104802</v>
      </c>
      <c r="K173" s="10" cm="1">
        <f t="array" ref="K173">IFERROR(IF(I173&lt;_xlfn.XLOOKUP(D173,D174:D$1000,I174:I$1000,,0,1),G173*H173-_xlfn.XLOOKUP(D173,D174:D$1000,J174:J$1000,,0,1)*-E173,0),0)</f>
        <v>0</v>
      </c>
      <c r="L173" s="56">
        <v>140.78</v>
      </c>
      <c r="M173" s="56">
        <v>140.405</v>
      </c>
      <c r="N173" s="59" cm="1">
        <f t="array" ref="N173">IF(I173&gt;_xlfn.XLOOKUP(D173,D174:D$1000,I174:I$1000,0,0,1),(_xlfn.XLOOKUP(D173,D174:D$1000,N174:N$1000,0,0,1)*MAX(1,L173/_xlfn.XLOOKUP(D173,D174:D$1000,L174:L$1000,L173,0,1))*_xlfn.XLOOKUP(D173,D174:D$1000,I174:I$1000,0,0,1)-G173*H173)/I173,_xlfn.XLOOKUP(D173,D174:D$1000,N174:N$1000,,0,1)*MAX(1,L173/_xlfn.XLOOKUP(D173,D174:D$1000,L174:L$1000,,0,1)))</f>
        <v>4707.7125122354128</v>
      </c>
      <c r="O173" s="59" cm="1">
        <f t="array" ref="O173">IFERROR(IF(I173&lt;_xlfn.XLOOKUP(D173,D174:D$1000,I174:I$1000,,0,1),G173*H173-_xlfn.XLOOKUP(D173,D174:D$1000,N174:N$1000,,0,1)*-E173*MAX(1,M173/IFERROR(_xlfn.XLOOKUP(D173,D174:D$1000,L174:L$1000,,0,1),M173)),0),0)</f>
        <v>0</v>
      </c>
      <c r="P173" s="56" t="str" cm="1">
        <f t="array" ref="P173">IF(O173&lt;0,1,IF(E173&lt;0, _xlfn.LET(_xlpm.v_cant, ABS(E173), _xlpm.v_fecha, B173, _xlpm.v_ticker, D173, _xlpm.rango_f, B174:B$1000, _xlpm.rango_t, E174:E$1000, _xlpm.filtro, D174:D$1000=_xlpm.v_ticker, _xlpm.c_fechas, _xlfn._xlws.FILTER(_xlpm.rango_f, _xlpm.filtro*(_xlpm.rango_t&gt;0), _xlpm.v_fecha), _xlpm.c_cants, _xlfn._xlws.FILTER(_xlpm.rango_t, _xlpm.filtro*(_xlpm.rango_t&gt;0), 0), _xlpm.v_acums_pasadas, ABS(SUMIFS(E174:E$1000, D174:D$1000, _xlpm.v_ticker, E174:E$1000,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4" spans="1:16" x14ac:dyDescent="0.45">
      <c r="A174" s="3" t="s">
        <v>48</v>
      </c>
      <c r="B174" s="4">
        <f t="shared" si="2"/>
        <v>45848</v>
      </c>
      <c r="C174" s="3" t="s">
        <v>90</v>
      </c>
      <c r="D174" s="3" t="s">
        <v>96</v>
      </c>
      <c r="E174" s="3">
        <v>0.78497980000000001</v>
      </c>
      <c r="F174" s="3">
        <v>15.248799999999999</v>
      </c>
      <c r="G174" s="3">
        <v>-11.99</v>
      </c>
      <c r="H174" s="5">
        <v>18.6267</v>
      </c>
      <c r="I174" s="8">
        <f>SUMIF(D174:D$1000,D174,E174:E$1000)</f>
        <v>8.3510339800000004</v>
      </c>
      <c r="J174" s="9" cm="1">
        <f t="array" ref="J174">IF(I174&gt;IFERROR(_xlfn.XLOOKUP(D174,D175:D$1000,I175:I$1000,,0,1),0),(IFERROR(_xlfn.XLOOKUP(D174,D175:D$1000,J175:J$1000,,0,1),0)*IFERROR(_xlfn.XLOOKUP(D174,D175:D$1000,I175:I$1000,,0,1),0)-G174*H174)/I174,_xlfn.XLOOKUP(D174,D175:D$1000,J175:J$1000,,0,1))</f>
        <v>362.9113659767433</v>
      </c>
      <c r="K174" s="10" cm="1">
        <f t="array" ref="K174">IFERROR(IF(I174&lt;_xlfn.XLOOKUP(D174,D175:D$1000,I175:I$1000,,0,1),G174*H174-_xlfn.XLOOKUP(D174,D175:D$1000,J175:J$1000,,0,1)*-E174,0),0)</f>
        <v>0</v>
      </c>
      <c r="L174" s="56">
        <v>140.78</v>
      </c>
      <c r="M174" s="56">
        <v>140.405</v>
      </c>
      <c r="N174" s="59" cm="1">
        <f t="array" ref="N174">IF(I174&gt;_xlfn.XLOOKUP(D174,D175:D$1000,I175:I$1000,0,0,1),(_xlfn.XLOOKUP(D174,D175:D$1000,N175:N$1000,0,0,1)*MAX(1,L174/_xlfn.XLOOKUP(D174,D175:D$1000,L175:L$1000,L174,0,1))*_xlfn.XLOOKUP(D174,D175:D$1000,I175:I$1000,0,0,1)-G174*H174)/I174,_xlfn.XLOOKUP(D174,D175:D$1000,N175:N$1000,,0,1)*MAX(1,L174/_xlfn.XLOOKUP(D174,D175:D$1000,L175:L$1000,,0,1)))</f>
        <v>370.05912849987817</v>
      </c>
      <c r="O174" s="59" cm="1">
        <f t="array" ref="O174">IFERROR(IF(I174&lt;_xlfn.XLOOKUP(D174,D175:D$1000,I175:I$1000,,0,1),G174*H174-_xlfn.XLOOKUP(D174,D175:D$1000,N175:N$1000,,0,1)*-E174*MAX(1,M174/IFERROR(_xlfn.XLOOKUP(D174,D175:D$1000,L175:L$1000,,0,1),M174)),0),0)</f>
        <v>0</v>
      </c>
      <c r="P174" s="56" t="str" cm="1">
        <f t="array" ref="P174">IF(O174&lt;0,1,IF(E174&lt;0, _xlfn.LET(_xlpm.v_cant, ABS(E174), _xlpm.v_fecha, B174, _xlpm.v_ticker, D174, _xlpm.rango_f, B175:B$1000, _xlpm.rango_t, E175:E$1000, _xlpm.filtro, D175:D$1000=_xlpm.v_ticker, _xlpm.c_fechas, _xlfn._xlws.FILTER(_xlpm.rango_f, _xlpm.filtro*(_xlpm.rango_t&gt;0), _xlpm.v_fecha), _xlpm.c_cants, _xlfn._xlws.FILTER(_xlpm.rango_t, _xlpm.filtro*(_xlpm.rango_t&gt;0), 0), _xlpm.v_acums_pasadas, ABS(SUMIFS(E175:E$1000, D175:D$1000, _xlpm.v_ticker, E175:E$1000,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5" spans="1:16" x14ac:dyDescent="0.45">
      <c r="A175" s="3" t="s">
        <v>48</v>
      </c>
      <c r="B175" s="4">
        <f t="shared" si="2"/>
        <v>45848</v>
      </c>
      <c r="C175" s="3" t="s">
        <v>90</v>
      </c>
      <c r="D175" s="3" t="s">
        <v>137</v>
      </c>
      <c r="E175" s="3">
        <v>2.212563E-2</v>
      </c>
      <c r="F175" s="3">
        <v>676.13879999999995</v>
      </c>
      <c r="G175" s="3">
        <v>-14.99</v>
      </c>
      <c r="H175" s="5">
        <v>18.6267</v>
      </c>
      <c r="I175" s="8">
        <f>SUMIF(D175:D$1000,D175,E175:E$1000)</f>
        <v>0.11279140000000001</v>
      </c>
      <c r="J175" s="9" cm="1">
        <f t="array" ref="J175">IF(I175&gt;IFERROR(_xlfn.XLOOKUP(D175,D176:D$1000,I176:I$1000,,0,1),0),(IFERROR(_xlfn.XLOOKUP(D175,D176:D$1000,J176:J$1000,,0,1),0)*IFERROR(_xlfn.XLOOKUP(D175,D176:D$1000,I176:I$1000,,0,1),0)-G175*H175)/I175,_xlfn.XLOOKUP(D175,D176:D$1000,J176:J$1000,,0,1))</f>
        <v>12557.745927437727</v>
      </c>
      <c r="K175" s="10" cm="1">
        <f t="array" ref="K175">IFERROR(IF(I175&lt;_xlfn.XLOOKUP(D175,D176:D$1000,I176:I$1000,,0,1),G175*H175-_xlfn.XLOOKUP(D175,D176:D$1000,J176:J$1000,,0,1)*-E175,0),0)</f>
        <v>0</v>
      </c>
      <c r="L175" s="56">
        <v>140.78</v>
      </c>
      <c r="M175" s="56">
        <v>140.405</v>
      </c>
      <c r="N175" s="59" cm="1">
        <f t="array" ref="N175">IF(I175&gt;_xlfn.XLOOKUP(D175,D176:D$1000,I176:I$1000,0,0,1),(_xlfn.XLOOKUP(D175,D176:D$1000,N176:N$1000,0,0,1)*MAX(1,L175/_xlfn.XLOOKUP(D175,D176:D$1000,L176:L$1000,L175,0,1))*_xlfn.XLOOKUP(D175,D176:D$1000,I176:I$1000,0,0,1)-G175*H175)/I175,_xlfn.XLOOKUP(D175,D176:D$1000,N176:N$1000,,0,1)*MAX(1,L175/_xlfn.XLOOKUP(D175,D176:D$1000,L176:L$1000,,0,1)))</f>
        <v>12723.922063349974</v>
      </c>
      <c r="O175" s="59" cm="1">
        <f t="array" ref="O175">IFERROR(IF(I175&lt;_xlfn.XLOOKUP(D175,D176:D$1000,I176:I$1000,,0,1),G175*H175-_xlfn.XLOOKUP(D175,D176:D$1000,N176:N$1000,,0,1)*-E175*MAX(1,M175/IFERROR(_xlfn.XLOOKUP(D175,D176:D$1000,L176:L$1000,,0,1),M175)),0),0)</f>
        <v>0</v>
      </c>
      <c r="P175" s="56" t="str" cm="1">
        <f t="array" ref="P175">IF(O175&lt;0,1,IF(E175&lt;0, _xlfn.LET(_xlpm.v_cant, ABS(E175), _xlpm.v_fecha, B175, _xlpm.v_ticker, D175, _xlpm.rango_f, B176:B$1000, _xlpm.rango_t, E176:E$1000, _xlpm.filtro, D176:D$1000=_xlpm.v_ticker, _xlpm.c_fechas, _xlfn._xlws.FILTER(_xlpm.rango_f, _xlpm.filtro*(_xlpm.rango_t&gt;0), _xlpm.v_fecha), _xlpm.c_cants, _xlfn._xlws.FILTER(_xlpm.rango_t, _xlpm.filtro*(_xlpm.rango_t&gt;0), 0), _xlpm.v_acums_pasadas, ABS(SUMIFS(E176:E$1000, D176:D$1000, _xlpm.v_ticker, E176:E$1000,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6" spans="1:16" x14ac:dyDescent="0.45">
      <c r="A176" s="3" t="s">
        <v>48</v>
      </c>
      <c r="B176" s="4">
        <f t="shared" si="2"/>
        <v>45848</v>
      </c>
      <c r="C176" s="3" t="s">
        <v>90</v>
      </c>
      <c r="D176" s="3" t="s">
        <v>160</v>
      </c>
      <c r="E176" s="3">
        <v>0.10460733</v>
      </c>
      <c r="F176" s="3">
        <v>95.308800000000005</v>
      </c>
      <c r="G176" s="3">
        <v>-9.99</v>
      </c>
      <c r="H176" s="5">
        <v>18.6267</v>
      </c>
      <c r="I176" s="8">
        <f>SUMIF(D176:D$1000,D176,E176:E$1000)</f>
        <v>0.21944419999999998</v>
      </c>
      <c r="J176" s="9" cm="1">
        <f t="array" ref="J176">IF(I176&gt;IFERROR(_xlfn.XLOOKUP(D176,D177:D$1000,I177:I$1000,,0,1),0),(IFERROR(_xlfn.XLOOKUP(D176,D177:D$1000,J177:J$1000,,0,1),0)*IFERROR(_xlfn.XLOOKUP(D176,D177:D$1000,I177:I$1000,,0,1),0)-G176*H176)/I176,_xlfn.XLOOKUP(D176,D177:D$1000,J177:J$1000,,0,1))</f>
        <v>1723.5652389081145</v>
      </c>
      <c r="K176" s="10" cm="1">
        <f t="array" ref="K176">IFERROR(IF(I176&lt;_xlfn.XLOOKUP(D176,D177:D$1000,I177:I$1000,,0,1),G176*H176-_xlfn.XLOOKUP(D176,D177:D$1000,J177:J$1000,,0,1)*-E176,0),0)</f>
        <v>0</v>
      </c>
      <c r="L176" s="56">
        <v>140.78</v>
      </c>
      <c r="M176" s="56">
        <v>140.405</v>
      </c>
      <c r="N176" s="59" cm="1">
        <f t="array" ref="N176">IF(I176&gt;_xlfn.XLOOKUP(D176,D177:D$1000,I177:I$1000,0,0,1),(_xlfn.XLOOKUP(D176,D177:D$1000,N177:N$1000,0,0,1)*MAX(1,L176/_xlfn.XLOOKUP(D176,D177:D$1000,L177:L$1000,L176,0,1))*_xlfn.XLOOKUP(D176,D177:D$1000,I177:I$1000,0,0,1)-G176*H176)/I176,_xlfn.XLOOKUP(D176,D177:D$1000,N177:N$1000,,0,1)*MAX(1,L176/_xlfn.XLOOKUP(D176,D177:D$1000,L177:L$1000,,0,1)))</f>
        <v>1728.3681266720212</v>
      </c>
      <c r="O176" s="59" cm="1">
        <f t="array" ref="O176">IFERROR(IF(I176&lt;_xlfn.XLOOKUP(D176,D177:D$1000,I177:I$1000,,0,1),G176*H176-_xlfn.XLOOKUP(D176,D177:D$1000,N177:N$1000,,0,1)*-E176*MAX(1,M176/IFERROR(_xlfn.XLOOKUP(D176,D177:D$1000,L177:L$1000,,0,1),M176)),0),0)</f>
        <v>0</v>
      </c>
      <c r="P176" s="56" t="str" cm="1">
        <f t="array" ref="P176">IF(O176&lt;0,1,IF(E176&lt;0, _xlfn.LET(_xlpm.v_cant, ABS(E176), _xlpm.v_fecha, B176, _xlpm.v_ticker, D176, _xlpm.rango_f, B177:B$1000, _xlpm.rango_t, E177:E$1000, _xlpm.filtro, D177:D$1000=_xlpm.v_ticker, _xlpm.c_fechas, _xlfn._xlws.FILTER(_xlpm.rango_f, _xlpm.filtro*(_xlpm.rango_t&gt;0), _xlpm.v_fecha), _xlpm.c_cants, _xlfn._xlws.FILTER(_xlpm.rango_t, _xlpm.filtro*(_xlpm.rango_t&gt;0), 0), _xlpm.v_acums_pasadas, ABS(SUMIFS(E177:E$1000, D177:D$1000, _xlpm.v_ticker, E177:E$1000,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7" spans="1:16" x14ac:dyDescent="0.45">
      <c r="A177" s="3" t="s">
        <v>48</v>
      </c>
      <c r="B177" s="4">
        <f t="shared" si="2"/>
        <v>45848</v>
      </c>
      <c r="C177" s="3" t="s">
        <v>90</v>
      </c>
      <c r="D177" s="3" t="s">
        <v>114</v>
      </c>
      <c r="E177" s="3">
        <v>0.10125033999999999</v>
      </c>
      <c r="F177" s="3">
        <v>98.468800000000002</v>
      </c>
      <c r="G177" s="3">
        <v>-9.99</v>
      </c>
      <c r="H177" s="5">
        <v>18.6267</v>
      </c>
      <c r="I177" s="8">
        <f>SUMIF(D177:D$1000,D177,E177:E$1000)</f>
        <v>0.61289742000000003</v>
      </c>
      <c r="J177" s="9" cm="1">
        <f t="array" ref="J177">IF(I177&gt;IFERROR(_xlfn.XLOOKUP(D177,D178:D$1000,I178:I$1000,,0,1),0),(IFERROR(_xlfn.XLOOKUP(D177,D178:D$1000,J178:J$1000,,0,1),0)*IFERROR(_xlfn.XLOOKUP(D177,D178:D$1000,I178:I$1000,,0,1),0)-G177*H177)/I177,_xlfn.XLOOKUP(D177,D178:D$1000,J178:J$1000,,0,1))</f>
        <v>1931.8379134309296</v>
      </c>
      <c r="K177" s="10" cm="1">
        <f t="array" ref="K177">IFERROR(IF(I177&lt;_xlfn.XLOOKUP(D177,D178:D$1000,I178:I$1000,,0,1),G177*H177-_xlfn.XLOOKUP(D177,D178:D$1000,J178:J$1000,,0,1)*-E177,0),0)</f>
        <v>0</v>
      </c>
      <c r="L177" s="56">
        <v>140.78</v>
      </c>
      <c r="M177" s="56">
        <v>140.405</v>
      </c>
      <c r="N177" s="59" cm="1">
        <f t="array" ref="N177">IF(I177&gt;_xlfn.XLOOKUP(D177,D178:D$1000,I178:I$1000,0,0,1),(_xlfn.XLOOKUP(D177,D178:D$1000,N178:N$1000,0,0,1)*MAX(1,L177/_xlfn.XLOOKUP(D177,D178:D$1000,L178:L$1000,L177,0,1))*_xlfn.XLOOKUP(D177,D178:D$1000,I178:I$1000,0,0,1)-G177*H177)/I177,_xlfn.XLOOKUP(D177,D178:D$1000,N178:N$1000,,0,1)*MAX(1,L177/_xlfn.XLOOKUP(D177,D178:D$1000,L178:L$1000,,0,1)))</f>
        <v>1965.2525672908819</v>
      </c>
      <c r="O177" s="59" cm="1">
        <f t="array" ref="O177">IFERROR(IF(I177&lt;_xlfn.XLOOKUP(D177,D178:D$1000,I178:I$1000,,0,1),G177*H177-_xlfn.XLOOKUP(D177,D178:D$1000,N178:N$1000,,0,1)*-E177*MAX(1,M177/IFERROR(_xlfn.XLOOKUP(D177,D178:D$1000,L178:L$1000,,0,1),M177)),0),0)</f>
        <v>0</v>
      </c>
      <c r="P177" s="56" t="str" cm="1">
        <f t="array" ref="P177">IF(O177&lt;0,1,IF(E177&lt;0, _xlfn.LET(_xlpm.v_cant, ABS(E177), _xlpm.v_fecha, B177, _xlpm.v_ticker, D177, _xlpm.rango_f, B178:B$1000, _xlpm.rango_t, E178:E$1000, _xlpm.filtro, D178:D$1000=_xlpm.v_ticker, _xlpm.c_fechas, _xlfn._xlws.FILTER(_xlpm.rango_f, _xlpm.filtro*(_xlpm.rango_t&gt;0), _xlpm.v_fecha), _xlpm.c_cants, _xlfn._xlws.FILTER(_xlpm.rango_t, _xlpm.filtro*(_xlpm.rango_t&gt;0), 0), _xlpm.v_acums_pasadas, ABS(SUMIFS(E178:E$1000, D178:D$1000, _xlpm.v_ticker, E178:E$1000,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8" spans="1:16" x14ac:dyDescent="0.45">
      <c r="A178" s="3" t="s">
        <v>48</v>
      </c>
      <c r="B178" s="4">
        <f t="shared" si="2"/>
        <v>45848</v>
      </c>
      <c r="C178" s="3" t="s">
        <v>90</v>
      </c>
      <c r="D178" s="3" t="s">
        <v>142</v>
      </c>
      <c r="E178" s="3">
        <v>0.11454660999999999</v>
      </c>
      <c r="F178" s="3">
        <v>87.038799999999995</v>
      </c>
      <c r="G178" s="3">
        <v>-9.99</v>
      </c>
      <c r="H178" s="5">
        <v>18.6267</v>
      </c>
      <c r="I178" s="8">
        <f>SUMIF(D178:D$1000,D178,E178:E$1000)</f>
        <v>0.79427402999999996</v>
      </c>
      <c r="J178" s="9" cm="1">
        <f t="array" ref="J178">IF(I178&gt;IFERROR(_xlfn.XLOOKUP(D178,D179:D$1000,I179:I$1000,,0,1),0),(IFERROR(_xlfn.XLOOKUP(D178,D179:D$1000,J179:J$1000,,0,1),0)*IFERROR(_xlfn.XLOOKUP(D178,D179:D$1000,I179:I$1000,,0,1),0)-G178*H178)/I178,_xlfn.XLOOKUP(D178,D179:D$1000,J179:J$1000,,0,1))</f>
        <v>1742.8531510718035</v>
      </c>
      <c r="K178" s="10" cm="1">
        <f t="array" ref="K178">IFERROR(IF(I178&lt;_xlfn.XLOOKUP(D178,D179:D$1000,I179:I$1000,,0,1),G178*H178-_xlfn.XLOOKUP(D178,D179:D$1000,J179:J$1000,,0,1)*-E178,0),0)</f>
        <v>0</v>
      </c>
      <c r="L178" s="56">
        <v>140.78</v>
      </c>
      <c r="M178" s="56">
        <v>140.405</v>
      </c>
      <c r="N178" s="59" cm="1">
        <f t="array" ref="N178">IF(I178&gt;_xlfn.XLOOKUP(D178,D179:D$1000,I179:I$1000,0,0,1),(_xlfn.XLOOKUP(D178,D179:D$1000,N179:N$1000,0,0,1)*MAX(1,L178/_xlfn.XLOOKUP(D178,D179:D$1000,L179:L$1000,L178,0,1))*_xlfn.XLOOKUP(D178,D179:D$1000,I179:I$1000,0,0,1)-G178*H178)/I178,_xlfn.XLOOKUP(D178,D179:D$1000,N179:N$1000,,0,1)*MAX(1,L178/_xlfn.XLOOKUP(D178,D179:D$1000,L179:L$1000,,0,1)))</f>
        <v>1755.3867957122959</v>
      </c>
      <c r="O178" s="59" cm="1">
        <f t="array" ref="O178">IFERROR(IF(I178&lt;_xlfn.XLOOKUP(D178,D179:D$1000,I179:I$1000,,0,1),G178*H178-_xlfn.XLOOKUP(D178,D179:D$1000,N179:N$1000,,0,1)*-E178*MAX(1,M178/IFERROR(_xlfn.XLOOKUP(D178,D179:D$1000,L179:L$1000,,0,1),M178)),0),0)</f>
        <v>0</v>
      </c>
      <c r="P178" s="56" t="str" cm="1">
        <f t="array" ref="P178">IF(O178&lt;0,1,IF(E178&lt;0, _xlfn.LET(_xlpm.v_cant, ABS(E178), _xlpm.v_fecha, B178, _xlpm.v_ticker, D178, _xlpm.rango_f, B179:B$1000, _xlpm.rango_t, E179:E$1000, _xlpm.filtro, D179:D$1000=_xlpm.v_ticker, _xlpm.c_fechas, _xlfn._xlws.FILTER(_xlpm.rango_f, _xlpm.filtro*(_xlpm.rango_t&gt;0), _xlpm.v_fecha), _xlpm.c_cants, _xlfn._xlws.FILTER(_xlpm.rango_t, _xlpm.filtro*(_xlpm.rango_t&gt;0), 0), _xlpm.v_acums_pasadas, ABS(SUMIFS(E179:E$1000, D179:D$1000, _xlpm.v_ticker, E179:E$1000,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79" spans="1:16" x14ac:dyDescent="0.45">
      <c r="A179" s="3" t="s">
        <v>48</v>
      </c>
      <c r="B179" s="4">
        <f t="shared" si="2"/>
        <v>45848</v>
      </c>
      <c r="C179" s="3" t="s">
        <v>90</v>
      </c>
      <c r="D179" s="3" t="s">
        <v>150</v>
      </c>
      <c r="E179" s="3">
        <v>5</v>
      </c>
      <c r="F179" s="3">
        <v>4.3483999999999998</v>
      </c>
      <c r="G179" s="3">
        <v>-21.74</v>
      </c>
      <c r="H179" s="5">
        <v>18.6267</v>
      </c>
      <c r="I179" s="8">
        <f>SUMIF(D179:D$1000,D179,E179:E$1000)</f>
        <v>5.7331432199999997</v>
      </c>
      <c r="J179" s="9" cm="1">
        <f t="array" ref="J179">IF(I179&gt;IFERROR(_xlfn.XLOOKUP(D179,D180:D$1000,I180:I$1000,,0,1),0),(IFERROR(_xlfn.XLOOKUP(D179,D180:D$1000,J180:J$1000,,0,1),0)*IFERROR(_xlfn.XLOOKUP(D179,D180:D$1000,I180:I$1000,,0,1),0)-G179*H179)/I179,_xlfn.XLOOKUP(D179,D180:D$1000,J180:J$1000,,0,1))</f>
        <v>81.191279397342512</v>
      </c>
      <c r="K179" s="10" cm="1">
        <f t="array" ref="K179">IFERROR(IF(I179&lt;_xlfn.XLOOKUP(D179,D180:D$1000,I180:I$1000,,0,1),G179*H179-_xlfn.XLOOKUP(D179,D180:D$1000,J180:J$1000,,0,1)*-E179,0),0)</f>
        <v>0</v>
      </c>
      <c r="L179" s="56">
        <v>140.78</v>
      </c>
      <c r="M179" s="56">
        <v>140.405</v>
      </c>
      <c r="N179" s="59" cm="1">
        <f t="array" ref="N179">IF(I179&gt;_xlfn.XLOOKUP(D179,D180:D$1000,I180:I$1000,0,0,1),(_xlfn.XLOOKUP(D179,D180:D$1000,N180:N$1000,0,0,1)*MAX(1,L179/_xlfn.XLOOKUP(D179,D180:D$1000,L180:L$1000,L179,0,1))*_xlfn.XLOOKUP(D179,D180:D$1000,I180:I$1000,0,0,1)-G179*H179)/I179,_xlfn.XLOOKUP(D179,D180:D$1000,N180:N$1000,,0,1)*MAX(1,L179/_xlfn.XLOOKUP(D179,D180:D$1000,L180:L$1000,,0,1)))</f>
        <v>81.191279397342512</v>
      </c>
      <c r="O179" s="59" cm="1">
        <f t="array" ref="O179">IFERROR(IF(I179&lt;_xlfn.XLOOKUP(D179,D180:D$1000,I180:I$1000,,0,1),G179*H179-_xlfn.XLOOKUP(D179,D180:D$1000,N180:N$1000,,0,1)*-E179*MAX(1,M179/IFERROR(_xlfn.XLOOKUP(D179,D180:D$1000,L180:L$1000,,0,1),M179)),0),0)</f>
        <v>0</v>
      </c>
      <c r="P179" s="56" t="str" cm="1">
        <f t="array" ref="P179">IF(O179&lt;0,1,IF(E179&lt;0, _xlfn.LET(_xlpm.v_cant, ABS(E179), _xlpm.v_fecha, B179, _xlpm.v_ticker, D179, _xlpm.rango_f, B180:B$1000, _xlpm.rango_t, E180:E$1000, _xlpm.filtro, D180:D$1000=_xlpm.v_ticker, _xlpm.c_fechas, _xlfn._xlws.FILTER(_xlpm.rango_f, _xlpm.filtro*(_xlpm.rango_t&gt;0), _xlpm.v_fecha), _xlpm.c_cants, _xlfn._xlws.FILTER(_xlpm.rango_t, _xlpm.filtro*(_xlpm.rango_t&gt;0), 0), _xlpm.v_acums_pasadas, ABS(SUMIFS(E180:E$1000, D180:D$1000, _xlpm.v_ticker, E180:E$1000,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0" spans="1:16" x14ac:dyDescent="0.45">
      <c r="A180" s="3" t="s">
        <v>48</v>
      </c>
      <c r="B180" s="4">
        <f t="shared" si="2"/>
        <v>45848</v>
      </c>
      <c r="C180" s="3" t="s">
        <v>90</v>
      </c>
      <c r="D180" s="3" t="s">
        <v>150</v>
      </c>
      <c r="E180" s="3">
        <v>0.73314321999999998</v>
      </c>
      <c r="F180" s="3">
        <v>4.3483999999999998</v>
      </c>
      <c r="G180" s="3">
        <v>-3.25</v>
      </c>
      <c r="H180" s="5">
        <v>18.6267</v>
      </c>
      <c r="I180" s="8">
        <f>SUMIF(D180:D$1000,D180,E180:E$1000)</f>
        <v>0.73314321999999998</v>
      </c>
      <c r="J180" s="9" cm="1">
        <f t="array" ref="J180">IF(I180&gt;IFERROR(_xlfn.XLOOKUP(D180,D181:D$1000,I181:I$1000,,0,1),0),(IFERROR(_xlfn.XLOOKUP(D180,D181:D$1000,J181:J$1000,,0,1),0)*IFERROR(_xlfn.XLOOKUP(D180,D181:D$1000,I181:I$1000,,0,1),0)-G180*H180)/I180,_xlfn.XLOOKUP(D180,D181:D$1000,J181:J$1000,,0,1))</f>
        <v>82.571554027329071</v>
      </c>
      <c r="K180" s="10" cm="1">
        <f t="array" ref="K180">IFERROR(IF(I180&lt;_xlfn.XLOOKUP(D180,D181:D$1000,I181:I$1000,,0,1),G180*H180-_xlfn.XLOOKUP(D180,D181:D$1000,J181:J$1000,,0,1)*-E180,0),0)</f>
        <v>0</v>
      </c>
      <c r="L180" s="56">
        <v>140.78</v>
      </c>
      <c r="M180" s="56">
        <v>140.405</v>
      </c>
      <c r="N180" s="59" cm="1">
        <f t="array" ref="N180">IF(I180&gt;_xlfn.XLOOKUP(D180,D181:D$1000,I181:I$1000,0,0,1),(_xlfn.XLOOKUP(D180,D181:D$1000,N181:N$1000,0,0,1)*MAX(1,L180/_xlfn.XLOOKUP(D180,D181:D$1000,L181:L$1000,L180,0,1))*_xlfn.XLOOKUP(D180,D181:D$1000,I181:I$1000,0,0,1)-G180*H180)/I180,_xlfn.XLOOKUP(D180,D181:D$1000,N181:N$1000,,0,1)*MAX(1,L180/_xlfn.XLOOKUP(D180,D181:D$1000,L181:L$1000,,0,1)))</f>
        <v>82.571554027329071</v>
      </c>
      <c r="O180" s="59" cm="1">
        <f t="array" ref="O180">IFERROR(IF(I180&lt;_xlfn.XLOOKUP(D180,D181:D$1000,I181:I$1000,,0,1),G180*H180-_xlfn.XLOOKUP(D180,D181:D$1000,N181:N$1000,,0,1)*-E180*MAX(1,M180/IFERROR(_xlfn.XLOOKUP(D180,D181:D$1000,L181:L$1000,,0,1),M180)),0),0)</f>
        <v>0</v>
      </c>
      <c r="P180" s="56" t="str" cm="1">
        <f t="array" ref="P180">IF(O180&lt;0,1,IF(E180&lt;0, _xlfn.LET(_xlpm.v_cant, ABS(E180), _xlpm.v_fecha, B180, _xlpm.v_ticker, D180, _xlpm.rango_f, B181:B$1000, _xlpm.rango_t, E181:E$1000, _xlpm.filtro, D181:D$1000=_xlpm.v_ticker, _xlpm.c_fechas, _xlfn._xlws.FILTER(_xlpm.rango_f, _xlpm.filtro*(_xlpm.rango_t&gt;0), _xlpm.v_fecha), _xlpm.c_cants, _xlfn._xlws.FILTER(_xlpm.rango_t, _xlpm.filtro*(_xlpm.rango_t&gt;0), 0), _xlpm.v_acums_pasadas, ABS(SUMIFS(E181:E$1000, D181:D$1000, _xlpm.v_ticker, E181:E$1000,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1" spans="1:16" x14ac:dyDescent="0.45">
      <c r="A181" s="3" t="s">
        <v>48</v>
      </c>
      <c r="B181" s="4">
        <f t="shared" si="2"/>
        <v>45848</v>
      </c>
      <c r="C181" s="3" t="s">
        <v>90</v>
      </c>
      <c r="D181" s="3" t="s">
        <v>178</v>
      </c>
      <c r="E181" s="3">
        <v>1</v>
      </c>
      <c r="F181" s="3">
        <v>9.8276000000000003</v>
      </c>
      <c r="G181" s="3">
        <v>-9.83</v>
      </c>
      <c r="H181" s="5">
        <v>18.6267</v>
      </c>
      <c r="I181" s="8">
        <f>SUMIF(D181:D$1000,D181,E181:E$1000)</f>
        <v>1.52224347</v>
      </c>
      <c r="J181" s="9" cm="1">
        <f t="array" ref="J181">IF(I181&gt;IFERROR(_xlfn.XLOOKUP(D181,D182:D$1000,I182:I$1000,,0,1),0),(IFERROR(_xlfn.XLOOKUP(D181,D182:D$1000,J182:J$1000,,0,1),0)*IFERROR(_xlfn.XLOOKUP(D181,D182:D$1000,I182:I$1000,,0,1),0)-G181*H181)/I181,_xlfn.XLOOKUP(D181,D182:D$1000,J182:J$1000,,0,1))</f>
        <v>183.42284825173201</v>
      </c>
      <c r="K181" s="10" cm="1">
        <f t="array" ref="K181">IFERROR(IF(I181&lt;_xlfn.XLOOKUP(D181,D182:D$1000,I182:I$1000,,0,1),G181*H181-_xlfn.XLOOKUP(D181,D182:D$1000,J182:J$1000,,0,1)*-E181,0),0)</f>
        <v>0</v>
      </c>
      <c r="L181" s="56">
        <v>140.78</v>
      </c>
      <c r="M181" s="56">
        <v>140.405</v>
      </c>
      <c r="N181" s="59" cm="1">
        <f t="array" ref="N181">IF(I181&gt;_xlfn.XLOOKUP(D181,D182:D$1000,I182:I$1000,0,0,1),(_xlfn.XLOOKUP(D181,D182:D$1000,N182:N$1000,0,0,1)*MAX(1,L181/_xlfn.XLOOKUP(D181,D182:D$1000,L182:L$1000,L181,0,1))*_xlfn.XLOOKUP(D181,D182:D$1000,I182:I$1000,0,0,1)-G181*H181)/I181,_xlfn.XLOOKUP(D181,D182:D$1000,N182:N$1000,,0,1)*MAX(1,L181/_xlfn.XLOOKUP(D181,D182:D$1000,L182:L$1000,,0,1)))</f>
        <v>183.42284825173201</v>
      </c>
      <c r="O181" s="59" cm="1">
        <f t="array" ref="O181">IFERROR(IF(I181&lt;_xlfn.XLOOKUP(D181,D182:D$1000,I182:I$1000,,0,1),G181*H181-_xlfn.XLOOKUP(D181,D182:D$1000,N182:N$1000,,0,1)*-E181*MAX(1,M181/IFERROR(_xlfn.XLOOKUP(D181,D182:D$1000,L182:L$1000,,0,1),M181)),0),0)</f>
        <v>0</v>
      </c>
      <c r="P181" s="56" t="str" cm="1">
        <f t="array" ref="P181">IF(O181&lt;0,1,IF(E181&lt;0, _xlfn.LET(_xlpm.v_cant, ABS(E181), _xlpm.v_fecha, B181, _xlpm.v_ticker, D181, _xlpm.rango_f, B182:B$1000, _xlpm.rango_t, E182:E$1000, _xlpm.filtro, D182:D$1000=_xlpm.v_ticker, _xlpm.c_fechas, _xlfn._xlws.FILTER(_xlpm.rango_f, _xlpm.filtro*(_xlpm.rango_t&gt;0), _xlpm.v_fecha), _xlpm.c_cants, _xlfn._xlws.FILTER(_xlpm.rango_t, _xlpm.filtro*(_xlpm.rango_t&gt;0), 0), _xlpm.v_acums_pasadas, ABS(SUMIFS(E182:E$1000, D182:D$1000, _xlpm.v_ticker, E182:E$1000,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2" spans="1:16" x14ac:dyDescent="0.45">
      <c r="A182" s="3" t="s">
        <v>48</v>
      </c>
      <c r="B182" s="4">
        <f t="shared" si="2"/>
        <v>45848</v>
      </c>
      <c r="C182" s="3" t="s">
        <v>90</v>
      </c>
      <c r="D182" s="3" t="s">
        <v>178</v>
      </c>
      <c r="E182" s="3">
        <v>0.52224347000000004</v>
      </c>
      <c r="F182" s="3">
        <v>9.8276000000000003</v>
      </c>
      <c r="G182" s="3">
        <v>-5.16</v>
      </c>
      <c r="H182" s="5">
        <v>18.6267</v>
      </c>
      <c r="I182" s="8">
        <f>SUMIF(D182:D$1000,D182,E182:E$1000)</f>
        <v>0.52224347000000004</v>
      </c>
      <c r="J182" s="9" cm="1">
        <f t="array" ref="J182">IF(I182&gt;IFERROR(_xlfn.XLOOKUP(D182,D183:D$1000,I183:I$1000,,0,1),0),(IFERROR(_xlfn.XLOOKUP(D182,D183:D$1000,J183:J$1000,,0,1),0)*IFERROR(_xlfn.XLOOKUP(D182,D183:D$1000,I183:I$1000,,0,1),0)-G182*H182)/I182,_xlfn.XLOOKUP(D182,D183:D$1000,J183:J$1000,,0,1))</f>
        <v>184.04016042555781</v>
      </c>
      <c r="K182" s="10" cm="1">
        <f t="array" ref="K182">IFERROR(IF(I182&lt;_xlfn.XLOOKUP(D182,D183:D$1000,I183:I$1000,,0,1),G182*H182-_xlfn.XLOOKUP(D182,D183:D$1000,J183:J$1000,,0,1)*-E182,0),0)</f>
        <v>0</v>
      </c>
      <c r="L182" s="56">
        <v>140.78</v>
      </c>
      <c r="M182" s="56">
        <v>140.405</v>
      </c>
      <c r="N182" s="59" cm="1">
        <f t="array" ref="N182">IF(I182&gt;_xlfn.XLOOKUP(D182,D183:D$1000,I183:I$1000,0,0,1),(_xlfn.XLOOKUP(D182,D183:D$1000,N183:N$1000,0,0,1)*MAX(1,L182/_xlfn.XLOOKUP(D182,D183:D$1000,L183:L$1000,L182,0,1))*_xlfn.XLOOKUP(D182,D183:D$1000,I183:I$1000,0,0,1)-G182*H182)/I182,_xlfn.XLOOKUP(D182,D183:D$1000,N183:N$1000,,0,1)*MAX(1,L182/_xlfn.XLOOKUP(D182,D183:D$1000,L183:L$1000,,0,1)))</f>
        <v>184.04016042555781</v>
      </c>
      <c r="O182" s="59" cm="1">
        <f t="array" ref="O182">IFERROR(IF(I182&lt;_xlfn.XLOOKUP(D182,D183:D$1000,I183:I$1000,,0,1),G182*H182-_xlfn.XLOOKUP(D182,D183:D$1000,N183:N$1000,,0,1)*-E182*MAX(1,M182/IFERROR(_xlfn.XLOOKUP(D182,D183:D$1000,L183:L$1000,,0,1),M182)),0),0)</f>
        <v>0</v>
      </c>
      <c r="P182" s="56" t="str" cm="1">
        <f t="array" ref="P182">IF(O182&lt;0,1,IF(E182&lt;0, _xlfn.LET(_xlpm.v_cant, ABS(E182), _xlpm.v_fecha, B182, _xlpm.v_ticker, D182, _xlpm.rango_f, B183:B$1000, _xlpm.rango_t, E183:E$1000, _xlpm.filtro, D183:D$1000=_xlpm.v_ticker, _xlpm.c_fechas, _xlfn._xlws.FILTER(_xlpm.rango_f, _xlpm.filtro*(_xlpm.rango_t&gt;0), _xlpm.v_fecha), _xlpm.c_cants, _xlfn._xlws.FILTER(_xlpm.rango_t, _xlpm.filtro*(_xlpm.rango_t&gt;0), 0), _xlpm.v_acums_pasadas, ABS(SUMIFS(E183:E$1000, D183:D$1000, _xlpm.v_ticker, E183:E$1000,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3" spans="1:16" x14ac:dyDescent="0.45">
      <c r="A183" s="3" t="s">
        <v>52</v>
      </c>
      <c r="B183" s="4">
        <f t="shared" si="2"/>
        <v>45824</v>
      </c>
      <c r="C183" s="3" t="s">
        <v>90</v>
      </c>
      <c r="D183" s="3" t="s">
        <v>155</v>
      </c>
      <c r="E183" s="3">
        <v>0.16463211</v>
      </c>
      <c r="F183" s="3">
        <v>22.838799999999999</v>
      </c>
      <c r="G183" s="3">
        <v>-3.77</v>
      </c>
      <c r="H183" s="5">
        <v>18.908300000000001</v>
      </c>
      <c r="I183" s="8">
        <f>SUMIF(D183:D$1000,D183,E183:E$1000)</f>
        <v>0.16463211</v>
      </c>
      <c r="J183" s="9" cm="1">
        <f t="array" ref="J183">IF(I183&gt;IFERROR(_xlfn.XLOOKUP(D183,D184:D$1000,I184:I$1000,,0,1),0),(IFERROR(_xlfn.XLOOKUP(D183,D184:D$1000,J184:J$1000,,0,1),0)*IFERROR(_xlfn.XLOOKUP(D183,D184:D$1000,I184:I$1000,,0,1),0)-G183*H183)/I183,_xlfn.XLOOKUP(D183,D184:D$1000,J184:J$1000,,0,1))</f>
        <v>432.99141947460913</v>
      </c>
      <c r="K183" s="10" cm="1">
        <f t="array" ref="K183">IFERROR(IF(I183&lt;_xlfn.XLOOKUP(D183,D184:D$1000,I184:I$1000,,0,1),G183*H183-_xlfn.XLOOKUP(D183,D184:D$1000,J184:J$1000,,0,1)*-E183,0),0)</f>
        <v>0</v>
      </c>
      <c r="L183" s="56">
        <v>140.405</v>
      </c>
      <c r="M183" s="56">
        <v>140.012</v>
      </c>
      <c r="N183" s="59" cm="1">
        <f t="array" ref="N183">IF(I183&gt;_xlfn.XLOOKUP(D183,D184:D$1000,I184:I$1000,0,0,1),(_xlfn.XLOOKUP(D183,D184:D$1000,N184:N$1000,0,0,1)*MAX(1,L183/_xlfn.XLOOKUP(D183,D184:D$1000,L184:L$1000,L183,0,1))*_xlfn.XLOOKUP(D183,D184:D$1000,I184:I$1000,0,0,1)-G183*H183)/I183,_xlfn.XLOOKUP(D183,D184:D$1000,N184:N$1000,,0,1)*MAX(1,L183/_xlfn.XLOOKUP(D183,D184:D$1000,L184:L$1000,,0,1)))</f>
        <v>432.99141947460913</v>
      </c>
      <c r="O183" s="59" cm="1">
        <f t="array" ref="O183">IFERROR(IF(I183&lt;_xlfn.XLOOKUP(D183,D184:D$1000,I184:I$1000,,0,1),G183*H183-_xlfn.XLOOKUP(D183,D184:D$1000,N184:N$1000,,0,1)*-E183*MAX(1,M183/IFERROR(_xlfn.XLOOKUP(D183,D184:D$1000,L184:L$1000,,0,1),M183)),0),0)</f>
        <v>0</v>
      </c>
      <c r="P183" s="56" t="str" cm="1">
        <f t="array" ref="P183">IF(O183&lt;0,1,IF(E183&lt;0, _xlfn.LET(_xlpm.v_cant, ABS(E183), _xlpm.v_fecha, B183, _xlpm.v_ticker, D183, _xlpm.rango_f, B184:B$1000, _xlpm.rango_t, E184:E$1000, _xlpm.filtro, D184:D$1000=_xlpm.v_ticker, _xlpm.c_fechas, _xlfn._xlws.FILTER(_xlpm.rango_f, _xlpm.filtro*(_xlpm.rango_t&gt;0), _xlpm.v_fecha), _xlpm.c_cants, _xlfn._xlws.FILTER(_xlpm.rango_t, _xlpm.filtro*(_xlpm.rango_t&gt;0), 0), _xlpm.v_acums_pasadas, ABS(SUMIFS(E184:E$1000, D184:D$1000, _xlpm.v_ticker, E184:E$1000,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4" spans="1:16" x14ac:dyDescent="0.45">
      <c r="A184" s="3" t="s">
        <v>52</v>
      </c>
      <c r="B184" s="4">
        <f t="shared" si="2"/>
        <v>45824</v>
      </c>
      <c r="C184" s="3" t="s">
        <v>90</v>
      </c>
      <c r="D184" s="3" t="s">
        <v>187</v>
      </c>
      <c r="E184" s="3">
        <v>0.10186766</v>
      </c>
      <c r="F184" s="3">
        <v>37.008800000000001</v>
      </c>
      <c r="G184" s="3">
        <v>-3.78</v>
      </c>
      <c r="H184" s="5">
        <v>18.908300000000001</v>
      </c>
      <c r="I184" s="8">
        <f>SUMIF(D184:D$1000,D184,E184:E$1000)</f>
        <v>0.10186766</v>
      </c>
      <c r="J184" s="9" cm="1">
        <f t="array" ref="J184">IF(I184&gt;IFERROR(_xlfn.XLOOKUP(D184,D185:D$1000,I185:I$1000,,0,1),0),(IFERROR(_xlfn.XLOOKUP(D184,D185:D$1000,J185:J$1000,,0,1),0)*IFERROR(_xlfn.XLOOKUP(D184,D185:D$1000,I185:I$1000,,0,1),0)-G184*H184)/I184,_xlfn.XLOOKUP(D184,D185:D$1000,J185:J$1000,,0,1))</f>
        <v>701.62968306133655</v>
      </c>
      <c r="K184" s="10" cm="1">
        <f t="array" ref="K184">IFERROR(IF(I184&lt;_xlfn.XLOOKUP(D184,D185:D$1000,I185:I$1000,,0,1),G184*H184-_xlfn.XLOOKUP(D184,D185:D$1000,J185:J$1000,,0,1)*-E184,0),0)</f>
        <v>0</v>
      </c>
      <c r="L184" s="56">
        <v>140.405</v>
      </c>
      <c r="M184" s="56">
        <v>140.012</v>
      </c>
      <c r="N184" s="59" cm="1">
        <f t="array" ref="N184">IF(I184&gt;_xlfn.XLOOKUP(D184,D185:D$1000,I185:I$1000,0,0,1),(_xlfn.XLOOKUP(D184,D185:D$1000,N185:N$1000,0,0,1)*MAX(1,L184/_xlfn.XLOOKUP(D184,D185:D$1000,L185:L$1000,L184,0,1))*_xlfn.XLOOKUP(D184,D185:D$1000,I185:I$1000,0,0,1)-G184*H184)/I184,_xlfn.XLOOKUP(D184,D185:D$1000,N185:N$1000,,0,1)*MAX(1,L184/_xlfn.XLOOKUP(D184,D185:D$1000,L185:L$1000,,0,1)))</f>
        <v>701.62968306133655</v>
      </c>
      <c r="O184" s="59" cm="1">
        <f t="array" ref="O184">IFERROR(IF(I184&lt;_xlfn.XLOOKUP(D184,D185:D$1000,I185:I$1000,,0,1),G184*H184-_xlfn.XLOOKUP(D184,D185:D$1000,N185:N$1000,,0,1)*-E184*MAX(1,M184/IFERROR(_xlfn.XLOOKUP(D184,D185:D$1000,L185:L$1000,,0,1),M184)),0),0)</f>
        <v>0</v>
      </c>
      <c r="P184" s="56" t="str" cm="1">
        <f t="array" ref="P184">IF(O184&lt;0,1,IF(E184&lt;0, _xlfn.LET(_xlpm.v_cant, ABS(E184), _xlpm.v_fecha, B184, _xlpm.v_ticker, D184, _xlpm.rango_f, B185:B$1000, _xlpm.rango_t, E185:E$1000, _xlpm.filtro, D185:D$1000=_xlpm.v_ticker, _xlpm.c_fechas, _xlfn._xlws.FILTER(_xlpm.rango_f, _xlpm.filtro*(_xlpm.rango_t&gt;0), _xlpm.v_fecha), _xlpm.c_cants, _xlfn._xlws.FILTER(_xlpm.rango_t, _xlpm.filtro*(_xlpm.rango_t&gt;0), 0), _xlpm.v_acums_pasadas, ABS(SUMIFS(E185:E$1000, D185:D$1000, _xlpm.v_ticker, E185:E$1000,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5" spans="1:16" x14ac:dyDescent="0.45">
      <c r="A185" s="3" t="s">
        <v>58</v>
      </c>
      <c r="B185" s="4">
        <f t="shared" si="2"/>
        <v>45805</v>
      </c>
      <c r="C185" s="3" t="s">
        <v>90</v>
      </c>
      <c r="D185" s="3" t="s">
        <v>188</v>
      </c>
      <c r="E185" s="3">
        <v>3.3416700000000001E-3</v>
      </c>
      <c r="F185" s="3">
        <v>2540.6388000000002</v>
      </c>
      <c r="G185" s="3">
        <v>-8.51</v>
      </c>
      <c r="H185" s="5">
        <v>19.399999999999999</v>
      </c>
      <c r="I185" s="8">
        <f>SUMIF(D185:D$1000,D185,E185:E$1000)</f>
        <v>3.3416700000000001E-3</v>
      </c>
      <c r="J185" s="9" cm="1">
        <f t="array" ref="J185">IF(I185&gt;IFERROR(_xlfn.XLOOKUP(D185,D186:D$1000,I186:I$1000,,0,1),0),(IFERROR(_xlfn.XLOOKUP(D185,D186:D$1000,J186:J$1000,,0,1),0)*IFERROR(_xlfn.XLOOKUP(D185,D186:D$1000,I186:I$1000,,0,1),0)-G185*H185)/I185,_xlfn.XLOOKUP(D185,D186:D$1000,J186:J$1000,,0,1))</f>
        <v>49404.638997866336</v>
      </c>
      <c r="K185" s="10" cm="1">
        <f t="array" ref="K185">IFERROR(IF(I185&lt;_xlfn.XLOOKUP(D185,D186:D$1000,I186:I$1000,,0,1),G185*H185-_xlfn.XLOOKUP(D185,D186:D$1000,J186:J$1000,,0,1)*-E185,0),0)</f>
        <v>0</v>
      </c>
      <c r="L185" s="56">
        <v>140.012</v>
      </c>
      <c r="M185" s="56">
        <v>139.62</v>
      </c>
      <c r="N185" s="59" cm="1">
        <f t="array" ref="N185">IF(I185&gt;_xlfn.XLOOKUP(D185,D186:D$1000,I186:I$1000,0,0,1),(_xlfn.XLOOKUP(D185,D186:D$1000,N186:N$1000,0,0,1)*MAX(1,L185/_xlfn.XLOOKUP(D185,D186:D$1000,L186:L$1000,L185,0,1))*_xlfn.XLOOKUP(D185,D186:D$1000,I186:I$1000,0,0,1)-G185*H185)/I185,_xlfn.XLOOKUP(D185,D186:D$1000,N186:N$1000,,0,1)*MAX(1,L185/_xlfn.XLOOKUP(D185,D186:D$1000,L186:L$1000,,0,1)))</f>
        <v>49404.638997866336</v>
      </c>
      <c r="O185" s="59" cm="1">
        <f t="array" ref="O185">IFERROR(IF(I185&lt;_xlfn.XLOOKUP(D185,D186:D$1000,I186:I$1000,,0,1),G185*H185-_xlfn.XLOOKUP(D185,D186:D$1000,N186:N$1000,,0,1)*-E185*MAX(1,M185/IFERROR(_xlfn.XLOOKUP(D185,D186:D$1000,L186:L$1000,,0,1),M185)),0),0)</f>
        <v>0</v>
      </c>
      <c r="P185" s="56" t="str" cm="1">
        <f t="array" ref="P185">IF(O185&lt;0,1,IF(E185&lt;0, _xlfn.LET(_xlpm.v_cant, ABS(E185), _xlpm.v_fecha, B185, _xlpm.v_ticker, D185, _xlpm.rango_f, B186:B$1000, _xlpm.rango_t, E186:E$1000, _xlpm.filtro, D186:D$1000=_xlpm.v_ticker, _xlpm.c_fechas, _xlfn._xlws.FILTER(_xlpm.rango_f, _xlpm.filtro*(_xlpm.rango_t&gt;0), _xlpm.v_fecha), _xlpm.c_cants, _xlfn._xlws.FILTER(_xlpm.rango_t, _xlpm.filtro*(_xlpm.rango_t&gt;0), 0), _xlpm.v_acums_pasadas, ABS(SUMIFS(E186:E$1000, D186:D$1000, _xlpm.v_ticker, E186:E$1000,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6" spans="1:16" x14ac:dyDescent="0.45">
      <c r="A186" s="3" t="s">
        <v>57</v>
      </c>
      <c r="B186" s="4">
        <f t="shared" si="2"/>
        <v>45804</v>
      </c>
      <c r="C186" s="3" t="s">
        <v>90</v>
      </c>
      <c r="D186" s="3" t="s">
        <v>160</v>
      </c>
      <c r="E186" s="3">
        <v>0.11483686999999999</v>
      </c>
      <c r="F186" s="3">
        <v>86.818799999999996</v>
      </c>
      <c r="G186" s="3">
        <v>-9.99</v>
      </c>
      <c r="H186" s="5">
        <v>19.233799999999999</v>
      </c>
      <c r="I186" s="8">
        <f>SUMIF(D186:D$1000,D186,E186:E$1000)</f>
        <v>0.11483686999999999</v>
      </c>
      <c r="J186" s="9" cm="1">
        <f t="array" ref="J186">IF(I186&gt;IFERROR(_xlfn.XLOOKUP(D186,D187:D$1000,I187:I$1000,,0,1),0),(IFERROR(_xlfn.XLOOKUP(D186,D187:D$1000,J187:J$1000,,0,1),0)*IFERROR(_xlfn.XLOOKUP(D186,D187:D$1000,I187:I$1000,,0,1),0)-G186*H186)/I186,_xlfn.XLOOKUP(D186,D187:D$1000,J187:J$1000,,0,1))</f>
        <v>1673.2053216009806</v>
      </c>
      <c r="K186" s="10" cm="1">
        <f t="array" ref="K186">IFERROR(IF(I186&lt;_xlfn.XLOOKUP(D186,D187:D$1000,I187:I$1000,,0,1),G186*H186-_xlfn.XLOOKUP(D186,D187:D$1000,J187:J$1000,,0,1)*-E186,0),0)</f>
        <v>0</v>
      </c>
      <c r="L186" s="56">
        <v>140.012</v>
      </c>
      <c r="M186" s="56">
        <v>139.62</v>
      </c>
      <c r="N186" s="59" cm="1">
        <f t="array" ref="N186">IF(I186&gt;_xlfn.XLOOKUP(D186,D187:D$1000,I187:I$1000,0,0,1),(_xlfn.XLOOKUP(D186,D187:D$1000,N187:N$1000,0,0,1)*MAX(1,L186/_xlfn.XLOOKUP(D186,D187:D$1000,L187:L$1000,L186,0,1))*_xlfn.XLOOKUP(D186,D187:D$1000,I187:I$1000,0,0,1)-G186*H186)/I186,_xlfn.XLOOKUP(D186,D187:D$1000,N187:N$1000,,0,1)*MAX(1,L186/_xlfn.XLOOKUP(D186,D187:D$1000,L187:L$1000,,0,1)))</f>
        <v>1673.2053216009806</v>
      </c>
      <c r="O186" s="59" cm="1">
        <f t="array" ref="O186">IFERROR(IF(I186&lt;_xlfn.XLOOKUP(D186,D187:D$1000,I187:I$1000,,0,1),G186*H186-_xlfn.XLOOKUP(D186,D187:D$1000,N187:N$1000,,0,1)*-E186*MAX(1,M186/IFERROR(_xlfn.XLOOKUP(D186,D187:D$1000,L187:L$1000,,0,1),M186)),0),0)</f>
        <v>0</v>
      </c>
      <c r="P186" s="56" t="str" cm="1">
        <f t="array" ref="P186">IF(O186&lt;0,1,IF(E186&lt;0, _xlfn.LET(_xlpm.v_cant, ABS(E186), _xlpm.v_fecha, B186, _xlpm.v_ticker, D186, _xlpm.rango_f, B187:B$1000, _xlpm.rango_t, E187:E$1000, _xlpm.filtro, D187:D$1000=_xlpm.v_ticker, _xlpm.c_fechas, _xlfn._xlws.FILTER(_xlpm.rango_f, _xlpm.filtro*(_xlpm.rango_t&gt;0), _xlpm.v_fecha), _xlpm.c_cants, _xlfn._xlws.FILTER(_xlpm.rango_t, _xlpm.filtro*(_xlpm.rango_t&gt;0), 0), _xlpm.v_acums_pasadas, ABS(SUMIFS(E187:E$1000, D187:D$1000, _xlpm.v_ticker, E187:E$1000,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7" spans="1:16" x14ac:dyDescent="0.45">
      <c r="A187" s="3" t="s">
        <v>56</v>
      </c>
      <c r="B187" s="4">
        <f t="shared" si="2"/>
        <v>45800</v>
      </c>
      <c r="C187" s="3" t="s">
        <v>90</v>
      </c>
      <c r="D187" s="3" t="s">
        <v>165</v>
      </c>
      <c r="E187" s="3">
        <v>0.38372083000000001</v>
      </c>
      <c r="F187" s="3">
        <v>46.778799999999997</v>
      </c>
      <c r="G187" s="3">
        <v>-17.989999999999998</v>
      </c>
      <c r="H187" s="5">
        <v>19.274799999999999</v>
      </c>
      <c r="I187" s="8">
        <f>SUMIF(D187:D$1000,D187,E187:E$1000)</f>
        <v>0.38372083000000001</v>
      </c>
      <c r="J187" s="9" cm="1">
        <f t="array" ref="J187">IF(I187&gt;IFERROR(_xlfn.XLOOKUP(D187,D188:D$1000,I188:I$1000,,0,1),0),(IFERROR(_xlfn.XLOOKUP(D187,D188:D$1000,J188:J$1000,,0,1),0)*IFERROR(_xlfn.XLOOKUP(D187,D188:D$1000,I188:I$1000,,0,1),0)-G187*H187)/I187,_xlfn.XLOOKUP(D187,D188:D$1000,J188:J$1000,,0,1))</f>
        <v>903.66126853212506</v>
      </c>
      <c r="K187" s="10" cm="1">
        <f t="array" ref="K187">IFERROR(IF(I187&lt;_xlfn.XLOOKUP(D187,D188:D$1000,I188:I$1000,,0,1),G187*H187-_xlfn.XLOOKUP(D187,D188:D$1000,J188:J$1000,,0,1)*-E187,0),0)</f>
        <v>0</v>
      </c>
      <c r="L187" s="56">
        <v>140.012</v>
      </c>
      <c r="M187" s="56">
        <v>139.62</v>
      </c>
      <c r="N187" s="59" cm="1">
        <f t="array" ref="N187">IF(I187&gt;_xlfn.XLOOKUP(D187,D188:D$1000,I188:I$1000,0,0,1),(_xlfn.XLOOKUP(D187,D188:D$1000,N188:N$1000,0,0,1)*MAX(1,L187/_xlfn.XLOOKUP(D187,D188:D$1000,L188:L$1000,L187,0,1))*_xlfn.XLOOKUP(D187,D188:D$1000,I188:I$1000,0,0,1)-G187*H187)/I187,_xlfn.XLOOKUP(D187,D188:D$1000,N188:N$1000,,0,1)*MAX(1,L187/_xlfn.XLOOKUP(D187,D188:D$1000,L188:L$1000,,0,1)))</f>
        <v>903.66126853212506</v>
      </c>
      <c r="O187" s="59" cm="1">
        <f t="array" ref="O187">IFERROR(IF(I187&lt;_xlfn.XLOOKUP(D187,D188:D$1000,I188:I$1000,,0,1),G187*H187-_xlfn.XLOOKUP(D187,D188:D$1000,N188:N$1000,,0,1)*-E187*MAX(1,M187/IFERROR(_xlfn.XLOOKUP(D187,D188:D$1000,L188:L$1000,,0,1),M187)),0),0)</f>
        <v>0</v>
      </c>
      <c r="P187" s="56" t="str" cm="1">
        <f t="array" ref="P187">IF(O187&lt;0,1,IF(E187&lt;0, _xlfn.LET(_xlpm.v_cant, ABS(E187), _xlpm.v_fecha, B187, _xlpm.v_ticker, D187, _xlpm.rango_f, B188:B$1000, _xlpm.rango_t, E188:E$1000, _xlpm.filtro, D188:D$1000=_xlpm.v_ticker, _xlpm.c_fechas, _xlfn._xlws.FILTER(_xlpm.rango_f, _xlpm.filtro*(_xlpm.rango_t&gt;0), _xlpm.v_fecha), _xlpm.c_cants, _xlfn._xlws.FILTER(_xlpm.rango_t, _xlpm.filtro*(_xlpm.rango_t&gt;0), 0), _xlpm.v_acums_pasadas, ABS(SUMIFS(E188:E$1000, D188:D$1000, _xlpm.v_ticker, E188:E$1000,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8" spans="1:16" x14ac:dyDescent="0.45">
      <c r="A188" s="3" t="s">
        <v>56</v>
      </c>
      <c r="B188" s="4">
        <f t="shared" si="2"/>
        <v>45800</v>
      </c>
      <c r="C188" s="3" t="s">
        <v>90</v>
      </c>
      <c r="D188" s="3" t="s">
        <v>168</v>
      </c>
      <c r="E188" s="3">
        <v>0.58953900000000004</v>
      </c>
      <c r="F188" s="3">
        <v>33.840000000000003</v>
      </c>
      <c r="G188" s="3">
        <v>-19.989999999999998</v>
      </c>
      <c r="H188" s="5">
        <v>19.274799999999999</v>
      </c>
      <c r="I188" s="8">
        <f>SUMIF(D188:D$1000,D188,E188:E$1000)</f>
        <v>0.58953900000000004</v>
      </c>
      <c r="J188" s="9" cm="1">
        <f t="array" ref="J188">IF(I188&gt;IFERROR(_xlfn.XLOOKUP(D188,D189:D$1000,I189:I$1000,,0,1),0),(IFERROR(_xlfn.XLOOKUP(D188,D189:D$1000,J189:J$1000,,0,1),0)*IFERROR(_xlfn.XLOOKUP(D188,D189:D$1000,I189:I$1000,,0,1),0)-G188*H188)/I188,_xlfn.XLOOKUP(D188,D189:D$1000,J189:J$1000,,0,1))</f>
        <v>653.56702779629495</v>
      </c>
      <c r="K188" s="10" cm="1">
        <f t="array" ref="K188">IFERROR(IF(I188&lt;_xlfn.XLOOKUP(D188,D189:D$1000,I189:I$1000,,0,1),G188*H188-_xlfn.XLOOKUP(D188,D189:D$1000,J189:J$1000,,0,1)*-E188,0),0)</f>
        <v>0</v>
      </c>
      <c r="L188" s="56">
        <v>140.012</v>
      </c>
      <c r="M188" s="56">
        <v>139.62</v>
      </c>
      <c r="N188" s="59" cm="1">
        <f t="array" ref="N188">IF(I188&gt;_xlfn.XLOOKUP(D188,D189:D$1000,I189:I$1000,0,0,1),(_xlfn.XLOOKUP(D188,D189:D$1000,N189:N$1000,0,0,1)*MAX(1,L188/_xlfn.XLOOKUP(D188,D189:D$1000,L189:L$1000,L188,0,1))*_xlfn.XLOOKUP(D188,D189:D$1000,I189:I$1000,0,0,1)-G188*H188)/I188,_xlfn.XLOOKUP(D188,D189:D$1000,N189:N$1000,,0,1)*MAX(1,L188/_xlfn.XLOOKUP(D188,D189:D$1000,L189:L$1000,,0,1)))</f>
        <v>653.56702779629495</v>
      </c>
      <c r="O188" s="59" cm="1">
        <f t="array" ref="O188">IFERROR(IF(I188&lt;_xlfn.XLOOKUP(D188,D189:D$1000,I189:I$1000,,0,1),G188*H188-_xlfn.XLOOKUP(D188,D189:D$1000,N189:N$1000,,0,1)*-E188*MAX(1,M188/IFERROR(_xlfn.XLOOKUP(D188,D189:D$1000,L189:L$1000,,0,1),M188)),0),0)</f>
        <v>0</v>
      </c>
      <c r="P188" s="56" t="str" cm="1">
        <f t="array" ref="P188">IF(O188&lt;0,1,IF(E188&lt;0, _xlfn.LET(_xlpm.v_cant, ABS(E188), _xlpm.v_fecha, B188, _xlpm.v_ticker, D188, _xlpm.rango_f, B189:B$1000, _xlpm.rango_t, E189:E$1000, _xlpm.filtro, D189:D$1000=_xlpm.v_ticker, _xlpm.c_fechas, _xlfn._xlws.FILTER(_xlpm.rango_f, _xlpm.filtro*(_xlpm.rango_t&gt;0), _xlpm.v_fecha), _xlpm.c_cants, _xlfn._xlws.FILTER(_xlpm.rango_t, _xlpm.filtro*(_xlpm.rango_t&gt;0), 0), _xlpm.v_acums_pasadas, ABS(SUMIFS(E189:E$1000, D189:D$1000, _xlpm.v_ticker, E189:E$1000,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89" spans="1:16" x14ac:dyDescent="0.45">
      <c r="A189" s="3" t="s">
        <v>56</v>
      </c>
      <c r="B189" s="4">
        <f t="shared" si="2"/>
        <v>45800</v>
      </c>
      <c r="C189" s="3" t="s">
        <v>90</v>
      </c>
      <c r="D189" s="3" t="s">
        <v>162</v>
      </c>
      <c r="E189" s="3">
        <v>5.3959319999999998E-2</v>
      </c>
      <c r="F189" s="3">
        <v>184.7688</v>
      </c>
      <c r="G189" s="3">
        <v>-9.99</v>
      </c>
      <c r="H189" s="5">
        <v>19.274799999999999</v>
      </c>
      <c r="I189" s="8">
        <f>SUMIF(D189:D$1000,D189,E189:E$1000)</f>
        <v>5.3959319999999998E-2</v>
      </c>
      <c r="J189" s="9" cm="1">
        <f t="array" ref="J189">IF(I189&gt;IFERROR(_xlfn.XLOOKUP(D189,D190:D$1000,I190:I$1000,,0,1),0),(IFERROR(_xlfn.XLOOKUP(D189,D190:D$1000,J190:J$1000,,0,1),0)*IFERROR(_xlfn.XLOOKUP(D189,D190:D$1000,I190:I$1000,,0,1),0)-G189*H189)/I189,_xlfn.XLOOKUP(D189,D190:D$1000,J190:J$1000,,0,1))</f>
        <v>3568.5262898049864</v>
      </c>
      <c r="K189" s="10" cm="1">
        <f t="array" ref="K189">IFERROR(IF(I189&lt;_xlfn.XLOOKUP(D189,D190:D$1000,I190:I$1000,,0,1),G189*H189-_xlfn.XLOOKUP(D189,D190:D$1000,J190:J$1000,,0,1)*-E189,0),0)</f>
        <v>0</v>
      </c>
      <c r="L189" s="56">
        <v>140.012</v>
      </c>
      <c r="M189" s="56">
        <v>139.62</v>
      </c>
      <c r="N189" s="59" cm="1">
        <f t="array" ref="N189">IF(I189&gt;_xlfn.XLOOKUP(D189,D190:D$1000,I190:I$1000,0,0,1),(_xlfn.XLOOKUP(D189,D190:D$1000,N190:N$1000,0,0,1)*MAX(1,L189/_xlfn.XLOOKUP(D189,D190:D$1000,L190:L$1000,L189,0,1))*_xlfn.XLOOKUP(D189,D190:D$1000,I190:I$1000,0,0,1)-G189*H189)/I189,_xlfn.XLOOKUP(D189,D190:D$1000,N190:N$1000,,0,1)*MAX(1,L189/_xlfn.XLOOKUP(D189,D190:D$1000,L190:L$1000,,0,1)))</f>
        <v>3568.5262898049864</v>
      </c>
      <c r="O189" s="59" cm="1">
        <f t="array" ref="O189">IFERROR(IF(I189&lt;_xlfn.XLOOKUP(D189,D190:D$1000,I190:I$1000,,0,1),G189*H189-_xlfn.XLOOKUP(D189,D190:D$1000,N190:N$1000,,0,1)*-E189*MAX(1,M189/IFERROR(_xlfn.XLOOKUP(D189,D190:D$1000,L190:L$1000,,0,1),M189)),0),0)</f>
        <v>0</v>
      </c>
      <c r="P189" s="56" t="str" cm="1">
        <f t="array" ref="P189">IF(O189&lt;0,1,IF(E189&lt;0, _xlfn.LET(_xlpm.v_cant, ABS(E189), _xlpm.v_fecha, B189, _xlpm.v_ticker, D189, _xlpm.rango_f, B190:B$1000, _xlpm.rango_t, E190:E$1000, _xlpm.filtro, D190:D$1000=_xlpm.v_ticker, _xlpm.c_fechas, _xlfn._xlws.FILTER(_xlpm.rango_f, _xlpm.filtro*(_xlpm.rango_t&gt;0), _xlpm.v_fecha), _xlpm.c_cants, _xlfn._xlws.FILTER(_xlpm.rango_t, _xlpm.filtro*(_xlpm.rango_t&gt;0), 0), _xlpm.v_acums_pasadas, ABS(SUMIFS(E190:E$1000, D190:D$1000, _xlpm.v_ticker, E190:E$1000,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0" spans="1:16" x14ac:dyDescent="0.45">
      <c r="A190" s="3" t="s">
        <v>38</v>
      </c>
      <c r="B190" s="4">
        <f t="shared" si="2"/>
        <v>45790</v>
      </c>
      <c r="C190" s="3" t="s">
        <v>90</v>
      </c>
      <c r="D190" s="3" t="s">
        <v>189</v>
      </c>
      <c r="E190" s="3">
        <v>5.8990809999999998E-2</v>
      </c>
      <c r="F190" s="3">
        <v>253.59880000000001</v>
      </c>
      <c r="G190" s="3">
        <v>-14.99</v>
      </c>
      <c r="H190" s="5">
        <v>19.4373</v>
      </c>
      <c r="I190" s="8">
        <f>SUMIF(D190:D$1000,D190,E190:E$1000)</f>
        <v>5.8990809999999998E-2</v>
      </c>
      <c r="J190" s="9" cm="1">
        <f t="array" ref="J190">IF(I190&gt;IFERROR(_xlfn.XLOOKUP(D190,D191:D$1000,I191:I$1000,,0,1),0),(IFERROR(_xlfn.XLOOKUP(D190,D191:D$1000,J191:J$1000,,0,1),0)*IFERROR(_xlfn.XLOOKUP(D190,D191:D$1000,I191:I$1000,,0,1),0)-G190*H190)/I190,_xlfn.XLOOKUP(D190,D191:D$1000,J191:J$1000,,0,1))</f>
        <v>4939.1613202124199</v>
      </c>
      <c r="K190" s="10" cm="1">
        <f t="array" ref="K190">IFERROR(IF(I190&lt;_xlfn.XLOOKUP(D190,D191:D$1000,I191:I$1000,,0,1),G190*H190-_xlfn.XLOOKUP(D190,D191:D$1000,J191:J$1000,,0,1)*-E190,0),0)</f>
        <v>0</v>
      </c>
      <c r="L190" s="56">
        <v>140.012</v>
      </c>
      <c r="M190" s="56">
        <v>139.62</v>
      </c>
      <c r="N190" s="59" cm="1">
        <f t="array" ref="N190">IF(I190&gt;_xlfn.XLOOKUP(D190,D191:D$1000,I191:I$1000,0,0,1),(_xlfn.XLOOKUP(D190,D191:D$1000,N191:N$1000,0,0,1)*MAX(1,L190/_xlfn.XLOOKUP(D190,D191:D$1000,L191:L$1000,L190,0,1))*_xlfn.XLOOKUP(D190,D191:D$1000,I191:I$1000,0,0,1)-G190*H190)/I190,_xlfn.XLOOKUP(D190,D191:D$1000,N191:N$1000,,0,1)*MAX(1,L190/_xlfn.XLOOKUP(D190,D191:D$1000,L191:L$1000,,0,1)))</f>
        <v>4939.1613202124199</v>
      </c>
      <c r="O190" s="59" cm="1">
        <f t="array" ref="O190">IFERROR(IF(I190&lt;_xlfn.XLOOKUP(D190,D191:D$1000,I191:I$1000,,0,1),G190*H190-_xlfn.XLOOKUP(D190,D191:D$1000,N191:N$1000,,0,1)*-E190*MAX(1,M190/IFERROR(_xlfn.XLOOKUP(D190,D191:D$1000,L191:L$1000,,0,1),M190)),0),0)</f>
        <v>0</v>
      </c>
      <c r="P190" s="56" t="str" cm="1">
        <f t="array" ref="P190">IF(O190&lt;0,1,IF(E190&lt;0, _xlfn.LET(_xlpm.v_cant, ABS(E190), _xlpm.v_fecha, B190, _xlpm.v_ticker, D190, _xlpm.rango_f, B191:B$1000, _xlpm.rango_t, E191:E$1000, _xlpm.filtro, D191:D$1000=_xlpm.v_ticker, _xlpm.c_fechas, _xlfn._xlws.FILTER(_xlpm.rango_f, _xlpm.filtro*(_xlpm.rango_t&gt;0), _xlpm.v_fecha), _xlpm.c_cants, _xlfn._xlws.FILTER(_xlpm.rango_t, _xlpm.filtro*(_xlpm.rango_t&gt;0), 0), _xlpm.v_acums_pasadas, ABS(SUMIFS(E191:E$1000, D191:D$1000, _xlpm.v_ticker, E191:E$1000,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1" spans="1:16" x14ac:dyDescent="0.45">
      <c r="A191" s="3" t="s">
        <v>38</v>
      </c>
      <c r="B191" s="4">
        <f t="shared" si="2"/>
        <v>45790</v>
      </c>
      <c r="C191" s="3" t="s">
        <v>90</v>
      </c>
      <c r="D191" s="3" t="s">
        <v>148</v>
      </c>
      <c r="E191" s="3">
        <v>4.6335710000000002E-2</v>
      </c>
      <c r="F191" s="3">
        <v>215.1688</v>
      </c>
      <c r="G191" s="3">
        <v>-9.99</v>
      </c>
      <c r="H191" s="5">
        <v>19.4373</v>
      </c>
      <c r="I191" s="8">
        <f>SUMIF(D191:D$1000,D191,E191:E$1000)</f>
        <v>0.12336969</v>
      </c>
      <c r="J191" s="9" cm="1">
        <f t="array" ref="J191">IF(I191&gt;IFERROR(_xlfn.XLOOKUP(D191,D192:D$1000,I192:I$1000,,0,1),0),(IFERROR(_xlfn.XLOOKUP(D191,D192:D$1000,J192:J$1000,,0,1),0)*IFERROR(_xlfn.XLOOKUP(D191,D192:D$1000,I192:I$1000,,0,1),0)-G191*H191)/I191,_xlfn.XLOOKUP(D191,D192:D$1000,J192:J$1000,,0,1))</f>
        <v>3956.6041869765581</v>
      </c>
      <c r="K191" s="10" cm="1">
        <f t="array" ref="K191">IFERROR(IF(I191&lt;_xlfn.XLOOKUP(D191,D192:D$1000,I192:I$1000,,0,1),G191*H191-_xlfn.XLOOKUP(D191,D192:D$1000,J192:J$1000,,0,1)*-E191,0),0)</f>
        <v>0</v>
      </c>
      <c r="L191" s="56">
        <v>140.012</v>
      </c>
      <c r="M191" s="56">
        <v>139.62</v>
      </c>
      <c r="N191" s="59" cm="1">
        <f t="array" ref="N191">IF(I191&gt;_xlfn.XLOOKUP(D191,D192:D$1000,I192:I$1000,0,0,1),(_xlfn.XLOOKUP(D191,D192:D$1000,N192:N$1000,0,0,1)*MAX(1,L191/_xlfn.XLOOKUP(D191,D192:D$1000,L192:L$1000,L191,0,1))*_xlfn.XLOOKUP(D191,D192:D$1000,I192:I$1000,0,0,1)-G191*H191)/I191,_xlfn.XLOOKUP(D191,D192:D$1000,N192:N$1000,,0,1)*MAX(1,L191/_xlfn.XLOOKUP(D191,D192:D$1000,L192:L$1000,,0,1)))</f>
        <v>3963.2937555964986</v>
      </c>
      <c r="O191" s="59" cm="1">
        <f t="array" ref="O191">IFERROR(IF(I191&lt;_xlfn.XLOOKUP(D191,D192:D$1000,I192:I$1000,,0,1),G191*H191-_xlfn.XLOOKUP(D191,D192:D$1000,N192:N$1000,,0,1)*-E191*MAX(1,M191/IFERROR(_xlfn.XLOOKUP(D191,D192:D$1000,L192:L$1000,,0,1),M191)),0),0)</f>
        <v>0</v>
      </c>
      <c r="P191" s="56" t="str" cm="1">
        <f t="array" ref="P191">IF(O191&lt;0,1,IF(E191&lt;0, _xlfn.LET(_xlpm.v_cant, ABS(E191), _xlpm.v_fecha, B191, _xlpm.v_ticker, D191, _xlpm.rango_f, B192:B$1000, _xlpm.rango_t, E192:E$1000, _xlpm.filtro, D192:D$1000=_xlpm.v_ticker, _xlpm.c_fechas, _xlfn._xlws.FILTER(_xlpm.rango_f, _xlpm.filtro*(_xlpm.rango_t&gt;0), _xlpm.v_fecha), _xlpm.c_cants, _xlfn._xlws.FILTER(_xlpm.rango_t, _xlpm.filtro*(_xlpm.rango_t&gt;0), 0), _xlpm.v_acums_pasadas, ABS(SUMIFS(E192:E$1000, D192:D$1000, _xlpm.v_ticker, E192:E$1000,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2" spans="1:16" x14ac:dyDescent="0.45">
      <c r="A192" s="3" t="s">
        <v>38</v>
      </c>
      <c r="B192" s="4">
        <f t="shared" si="2"/>
        <v>45790</v>
      </c>
      <c r="C192" s="3" t="s">
        <v>90</v>
      </c>
      <c r="D192" s="3" t="s">
        <v>177</v>
      </c>
      <c r="E192" s="3">
        <v>0.29173905999999999</v>
      </c>
      <c r="F192" s="3">
        <v>51.278700000000001</v>
      </c>
      <c r="G192" s="3">
        <v>-14.99</v>
      </c>
      <c r="H192" s="5">
        <v>19.4373</v>
      </c>
      <c r="I192" s="8">
        <f>SUMIF(D192:D$1000,D192,E192:E$1000)</f>
        <v>0.29173905999999999</v>
      </c>
      <c r="J192" s="9" cm="1">
        <f t="array" ref="J192">IF(I192&gt;IFERROR(_xlfn.XLOOKUP(D192,D193:D$1000,I193:I$1000,,0,1),0),(IFERROR(_xlfn.XLOOKUP(D192,D193:D$1000,J193:J$1000,,0,1),0)*IFERROR(_xlfn.XLOOKUP(D192,D193:D$1000,I193:I$1000,,0,1),0)-G192*H192)/I192,_xlfn.XLOOKUP(D192,D193:D$1000,J193:J$1000,,0,1))</f>
        <v>998.7182621346625</v>
      </c>
      <c r="K192" s="10" cm="1">
        <f t="array" ref="K192">IFERROR(IF(I192&lt;_xlfn.XLOOKUP(D192,D193:D$1000,I193:I$1000,,0,1),G192*H192-_xlfn.XLOOKUP(D192,D193:D$1000,J193:J$1000,,0,1)*-E192,0),0)</f>
        <v>0</v>
      </c>
      <c r="L192" s="56">
        <v>140.012</v>
      </c>
      <c r="M192" s="56">
        <v>139.62</v>
      </c>
      <c r="N192" s="59" cm="1">
        <f t="array" ref="N192">IF(I192&gt;_xlfn.XLOOKUP(D192,D193:D$1000,I193:I$1000,0,0,1),(_xlfn.XLOOKUP(D192,D193:D$1000,N193:N$1000,0,0,1)*MAX(1,L192/_xlfn.XLOOKUP(D192,D193:D$1000,L193:L$1000,L192,0,1))*_xlfn.XLOOKUP(D192,D193:D$1000,I193:I$1000,0,0,1)-G192*H192)/I192,_xlfn.XLOOKUP(D192,D193:D$1000,N193:N$1000,,0,1)*MAX(1,L192/_xlfn.XLOOKUP(D192,D193:D$1000,L193:L$1000,,0,1)))</f>
        <v>998.7182621346625</v>
      </c>
      <c r="O192" s="59" cm="1">
        <f t="array" ref="O192">IFERROR(IF(I192&lt;_xlfn.XLOOKUP(D192,D193:D$1000,I193:I$1000,,0,1),G192*H192-_xlfn.XLOOKUP(D192,D193:D$1000,N193:N$1000,,0,1)*-E192*MAX(1,M192/IFERROR(_xlfn.XLOOKUP(D192,D193:D$1000,L193:L$1000,,0,1),M192)),0),0)</f>
        <v>0</v>
      </c>
      <c r="P192" s="56" t="str" cm="1">
        <f t="array" ref="P192">IF(O192&lt;0,1,IF(E192&lt;0, _xlfn.LET(_xlpm.v_cant, ABS(E192), _xlpm.v_fecha, B192, _xlpm.v_ticker, D192, _xlpm.rango_f, B193:B$1000, _xlpm.rango_t, E193:E$1000, _xlpm.filtro, D193:D$1000=_xlpm.v_ticker, _xlpm.c_fechas, _xlfn._xlws.FILTER(_xlpm.rango_f, _xlpm.filtro*(_xlpm.rango_t&gt;0), _xlpm.v_fecha), _xlpm.c_cants, _xlfn._xlws.FILTER(_xlpm.rango_t, _xlpm.filtro*(_xlpm.rango_t&gt;0), 0), _xlpm.v_acums_pasadas, ABS(SUMIFS(E193:E$1000, D193:D$1000, _xlpm.v_ticker, E193:E$1000,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3" spans="1:16" x14ac:dyDescent="0.45">
      <c r="A193" s="3" t="s">
        <v>30</v>
      </c>
      <c r="B193" s="4">
        <f t="shared" si="2"/>
        <v>45777</v>
      </c>
      <c r="C193" s="3" t="s">
        <v>90</v>
      </c>
      <c r="D193" s="3" t="s">
        <v>148</v>
      </c>
      <c r="E193" s="3">
        <v>7.7033980000000002E-2</v>
      </c>
      <c r="F193" s="3">
        <v>194.2</v>
      </c>
      <c r="G193" s="3">
        <v>-14.99</v>
      </c>
      <c r="H193" s="5">
        <v>19.609500000000001</v>
      </c>
      <c r="I193" s="8">
        <f>SUMIF(D193:D$1000,D193,E193:E$1000)</f>
        <v>7.7033980000000002E-2</v>
      </c>
      <c r="J193" s="9" cm="1">
        <f t="array" ref="J193">IF(I193&gt;IFERROR(_xlfn.XLOOKUP(D193,D194:D$1000,I194:I$1000,,0,1),0),(IFERROR(_xlfn.XLOOKUP(D193,D194:D$1000,J194:J$1000,,0,1),0)*IFERROR(_xlfn.XLOOKUP(D193,D194:D$1000,I194:I$1000,,0,1),0)-G193*H193)/I193,_xlfn.XLOOKUP(D193,D194:D$1000,J194:J$1000,,0,1))</f>
        <v>3815.8018708107775</v>
      </c>
      <c r="K193" s="10" cm="1">
        <f t="array" ref="K193">IFERROR(IF(I193&lt;_xlfn.XLOOKUP(D193,D194:D$1000,I194:I$1000,,0,1),G193*H193-_xlfn.XLOOKUP(D193,D194:D$1000,J194:J$1000,,0,1)*-E193,0),0)</f>
        <v>0</v>
      </c>
      <c r="L193" s="56">
        <v>139.62</v>
      </c>
      <c r="M193" s="56">
        <v>139.161</v>
      </c>
      <c r="N193" s="59" cm="1">
        <f t="array" ref="N193">IF(I193&gt;_xlfn.XLOOKUP(D193,D194:D$1000,I194:I$1000,0,0,1),(_xlfn.XLOOKUP(D193,D194:D$1000,N194:N$1000,0,0,1)*MAX(1,L193/_xlfn.XLOOKUP(D193,D194:D$1000,L194:L$1000,L193,0,1))*_xlfn.XLOOKUP(D193,D194:D$1000,I194:I$1000,0,0,1)-G193*H193)/I193,_xlfn.XLOOKUP(D193,D194:D$1000,N194:N$1000,,0,1)*MAX(1,L193/_xlfn.XLOOKUP(D193,D194:D$1000,L194:L$1000,,0,1)))</f>
        <v>3815.8018708107775</v>
      </c>
      <c r="O193" s="59" cm="1">
        <f t="array" ref="O193">IFERROR(IF(I193&lt;_xlfn.XLOOKUP(D193,D194:D$1000,I194:I$1000,,0,1),G193*H193-_xlfn.XLOOKUP(D193,D194:D$1000,N194:N$1000,,0,1)*-E193*MAX(1,M193/IFERROR(_xlfn.XLOOKUP(D193,D194:D$1000,L194:L$1000,,0,1),M193)),0),0)</f>
        <v>0</v>
      </c>
      <c r="P193" s="56" t="str" cm="1">
        <f t="array" ref="P193">IF(O193&lt;0,1,IF(E193&lt;0, _xlfn.LET(_xlpm.v_cant, ABS(E193), _xlpm.v_fecha, B193, _xlpm.v_ticker, D193, _xlpm.rango_f, B194:B$1000, _xlpm.rango_t, E194:E$1000, _xlpm.filtro, D194:D$1000=_xlpm.v_ticker, _xlpm.c_fechas, _xlfn._xlws.FILTER(_xlpm.rango_f, _xlpm.filtro*(_xlpm.rango_t&gt;0), _xlpm.v_fecha), _xlpm.c_cants, _xlfn._xlws.FILTER(_xlpm.rango_t, _xlpm.filtro*(_xlpm.rango_t&gt;0), 0), _xlpm.v_acums_pasadas, ABS(SUMIFS(E194:E$1000, D194:D$1000, _xlpm.v_ticker, E194:E$1000,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4" spans="1:16" x14ac:dyDescent="0.45">
      <c r="A194" s="3" t="s">
        <v>29</v>
      </c>
      <c r="B194" s="4">
        <f t="shared" ref="B194:B257" si="3">DATEVALUE(A194)</f>
        <v>45776</v>
      </c>
      <c r="C194" s="3" t="s">
        <v>90</v>
      </c>
      <c r="D194" s="3" t="s">
        <v>145</v>
      </c>
      <c r="E194" s="3">
        <v>0.17079809000000001</v>
      </c>
      <c r="F194" s="3">
        <v>87.588800000000006</v>
      </c>
      <c r="G194" s="3">
        <v>-14.99</v>
      </c>
      <c r="H194" s="5">
        <v>19.5868</v>
      </c>
      <c r="I194" s="8">
        <f>SUMIF(D194:D$1000,D194,E194:E$1000)</f>
        <v>0.40140726000000004</v>
      </c>
      <c r="J194" s="9" cm="1">
        <f t="array" ref="J194">IF(I194&gt;IFERROR(_xlfn.XLOOKUP(D194,D195:D$1000,I195:I$1000,,0,1),0),(IFERROR(_xlfn.XLOOKUP(D194,D195:D$1000,J195:J$1000,,0,1),0)*IFERROR(_xlfn.XLOOKUP(D194,D195:D$1000,I195:I$1000,,0,1),0)-G194*H194)/I194,_xlfn.XLOOKUP(D194,D195:D$1000,J195:J$1000,,0,1))</f>
        <v>1704.9184760634371</v>
      </c>
      <c r="K194" s="10" cm="1">
        <f t="array" ref="K194">IFERROR(IF(I194&lt;_xlfn.XLOOKUP(D194,D195:D$1000,I195:I$1000,,0,1),G194*H194-_xlfn.XLOOKUP(D194,D195:D$1000,J195:J$1000,,0,1)*-E194,0),0)</f>
        <v>0</v>
      </c>
      <c r="L194" s="56">
        <v>139.62</v>
      </c>
      <c r="M194" s="56">
        <v>139.161</v>
      </c>
      <c r="N194" s="59" cm="1">
        <f t="array" ref="N194">IF(I194&gt;_xlfn.XLOOKUP(D194,D195:D$1000,I195:I$1000,0,0,1),(_xlfn.XLOOKUP(D194,D195:D$1000,N195:N$1000,0,0,1)*MAX(1,L194/_xlfn.XLOOKUP(D194,D195:D$1000,L195:L$1000,L194,0,1))*_xlfn.XLOOKUP(D194,D195:D$1000,I195:I$1000,0,0,1)-G194*H194)/I194,_xlfn.XLOOKUP(D194,D195:D$1000,N195:N$1000,,0,1)*MAX(1,L194/_xlfn.XLOOKUP(D194,D195:D$1000,L195:L$1000,,0,1)))</f>
        <v>1704.9184760634371</v>
      </c>
      <c r="O194" s="59" cm="1">
        <f t="array" ref="O194">IFERROR(IF(I194&lt;_xlfn.XLOOKUP(D194,D195:D$1000,I195:I$1000,,0,1),G194*H194-_xlfn.XLOOKUP(D194,D195:D$1000,N195:N$1000,,0,1)*-E194*MAX(1,M194/IFERROR(_xlfn.XLOOKUP(D194,D195:D$1000,L195:L$1000,,0,1),M194)),0),0)</f>
        <v>0</v>
      </c>
      <c r="P194" s="56" t="str" cm="1">
        <f t="array" ref="P194">IF(O194&lt;0,1,IF(E194&lt;0, _xlfn.LET(_xlpm.v_cant, ABS(E194), _xlpm.v_fecha, B194, _xlpm.v_ticker, D194, _xlpm.rango_f, B195:B$1000, _xlpm.rango_t, E195:E$1000, _xlpm.filtro, D195:D$1000=_xlpm.v_ticker, _xlpm.c_fechas, _xlfn._xlws.FILTER(_xlpm.rango_f, _xlpm.filtro*(_xlpm.rango_t&gt;0), _xlpm.v_fecha), _xlpm.c_cants, _xlfn._xlws.FILTER(_xlpm.rango_t, _xlpm.filtro*(_xlpm.rango_t&gt;0), 0), _xlpm.v_acums_pasadas, ABS(SUMIFS(E195:E$1000, D195:D$1000, _xlpm.v_ticker, E195:E$1000,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5" spans="1:16" x14ac:dyDescent="0.45">
      <c r="A195" s="3" t="s">
        <v>28</v>
      </c>
      <c r="B195" s="4">
        <f t="shared" si="3"/>
        <v>45772</v>
      </c>
      <c r="C195" s="3" t="s">
        <v>90</v>
      </c>
      <c r="D195" s="3" t="s">
        <v>110</v>
      </c>
      <c r="E195" s="3">
        <v>0.15298730999999999</v>
      </c>
      <c r="F195" s="3">
        <v>65.168800000000005</v>
      </c>
      <c r="G195" s="3">
        <v>-9.99</v>
      </c>
      <c r="H195" s="5">
        <v>19.547799999999999</v>
      </c>
      <c r="I195" s="8">
        <f>SUMIF(D195:D$1000,D195,E195:E$1000)</f>
        <v>0.43056903000000002</v>
      </c>
      <c r="J195" s="9" cm="1">
        <f t="array" ref="J195">IF(I195&gt;IFERROR(_xlfn.XLOOKUP(D195,D196:D$1000,I196:I$1000,,0,1),0),(IFERROR(_xlfn.XLOOKUP(D195,D196:D$1000,J196:J$1000,,0,1),0)*IFERROR(_xlfn.XLOOKUP(D195,D196:D$1000,I196:I$1000,,0,1),0)-G195*H195)/I195,_xlfn.XLOOKUP(D195,D196:D$1000,J196:J$1000,,0,1))</f>
        <v>1032.3429165518226</v>
      </c>
      <c r="K195" s="10" cm="1">
        <f t="array" ref="K195">IFERROR(IF(I195&lt;_xlfn.XLOOKUP(D195,D196:D$1000,I196:I$1000,,0,1),G195*H195-_xlfn.XLOOKUP(D195,D196:D$1000,J196:J$1000,,0,1)*-E195,0),0)</f>
        <v>0</v>
      </c>
      <c r="L195" s="56">
        <v>139.62</v>
      </c>
      <c r="M195" s="56">
        <v>139.161</v>
      </c>
      <c r="N195" s="59" cm="1">
        <f t="array" ref="N195">IF(I195&gt;_xlfn.XLOOKUP(D195,D196:D$1000,I196:I$1000,0,0,1),(_xlfn.XLOOKUP(D195,D196:D$1000,N196:N$1000,0,0,1)*MAX(1,L195/_xlfn.XLOOKUP(D195,D196:D$1000,L196:L$1000,L195,0,1))*_xlfn.XLOOKUP(D195,D196:D$1000,I196:I$1000,0,0,1)-G195*H195)/I195,_xlfn.XLOOKUP(D195,D196:D$1000,N196:N$1000,,0,1)*MAX(1,L195/_xlfn.XLOOKUP(D195,D196:D$1000,L196:L$1000,,0,1)))</f>
        <v>1039.3539928501284</v>
      </c>
      <c r="O195" s="59" cm="1">
        <f t="array" ref="O195">IFERROR(IF(I195&lt;_xlfn.XLOOKUP(D195,D196:D$1000,I196:I$1000,,0,1),G195*H195-_xlfn.XLOOKUP(D195,D196:D$1000,N196:N$1000,,0,1)*-E195*MAX(1,M195/IFERROR(_xlfn.XLOOKUP(D195,D196:D$1000,L196:L$1000,,0,1),M195)),0),0)</f>
        <v>0</v>
      </c>
      <c r="P195" s="56" t="str" cm="1">
        <f t="array" ref="P195">IF(O195&lt;0,1,IF(E195&lt;0, _xlfn.LET(_xlpm.v_cant, ABS(E195), _xlpm.v_fecha, B195, _xlpm.v_ticker, D195, _xlpm.rango_f, B196:B$1000, _xlpm.rango_t, E196:E$1000, _xlpm.filtro, D196:D$1000=_xlpm.v_ticker, _xlpm.c_fechas, _xlfn._xlws.FILTER(_xlpm.rango_f, _xlpm.filtro*(_xlpm.rango_t&gt;0), _xlpm.v_fecha), _xlpm.c_cants, _xlfn._xlws.FILTER(_xlpm.rango_t, _xlpm.filtro*(_xlpm.rango_t&gt;0), 0), _xlpm.v_acums_pasadas, ABS(SUMIFS(E196:E$1000, D196:D$1000, _xlpm.v_ticker, E196:E$1000,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6" spans="1:16" x14ac:dyDescent="0.45">
      <c r="A196" s="3" t="s">
        <v>28</v>
      </c>
      <c r="B196" s="4">
        <f t="shared" si="3"/>
        <v>45772</v>
      </c>
      <c r="C196" s="3" t="s">
        <v>90</v>
      </c>
      <c r="D196" s="3" t="s">
        <v>144</v>
      </c>
      <c r="E196" s="3">
        <v>0.51938797999999997</v>
      </c>
      <c r="F196" s="3">
        <v>47.998800000000003</v>
      </c>
      <c r="G196" s="3">
        <v>-24.99</v>
      </c>
      <c r="H196" s="5">
        <v>19.547799999999999</v>
      </c>
      <c r="I196" s="8">
        <f>SUMIF(D196:D$1000,D196,E196:E$1000)</f>
        <v>0.51938797999999997</v>
      </c>
      <c r="J196" s="9" cm="1">
        <f t="array" ref="J196">IF(I196&gt;IFERROR(_xlfn.XLOOKUP(D196,D197:D$1000,I197:I$1000,,0,1),0),(IFERROR(_xlfn.XLOOKUP(D196,D197:D$1000,J197:J$1000,,0,1),0)*IFERROR(_xlfn.XLOOKUP(D196,D197:D$1000,I197:I$1000,,0,1),0)-G196*H196)/I196,_xlfn.XLOOKUP(D196,D197:D$1000,J197:J$1000,,0,1))</f>
        <v>940.52912429740866</v>
      </c>
      <c r="K196" s="10" cm="1">
        <f t="array" ref="K196">IFERROR(IF(I196&lt;_xlfn.XLOOKUP(D196,D197:D$1000,I197:I$1000,,0,1),G196*H196-_xlfn.XLOOKUP(D196,D197:D$1000,J197:J$1000,,0,1)*-E196,0),0)</f>
        <v>0</v>
      </c>
      <c r="L196" s="56">
        <v>139.62</v>
      </c>
      <c r="M196" s="56">
        <v>139.161</v>
      </c>
      <c r="N196" s="59" cm="1">
        <f t="array" ref="N196">IF(I196&gt;_xlfn.XLOOKUP(D196,D197:D$1000,I197:I$1000,0,0,1),(_xlfn.XLOOKUP(D196,D197:D$1000,N197:N$1000,0,0,1)*MAX(1,L196/_xlfn.XLOOKUP(D196,D197:D$1000,L197:L$1000,L196,0,1))*_xlfn.XLOOKUP(D196,D197:D$1000,I197:I$1000,0,0,1)-G196*H196)/I196,_xlfn.XLOOKUP(D196,D197:D$1000,N197:N$1000,,0,1)*MAX(1,L196/_xlfn.XLOOKUP(D196,D197:D$1000,L197:L$1000,,0,1)))</f>
        <v>940.52912429740866</v>
      </c>
      <c r="O196" s="59" cm="1">
        <f t="array" ref="O196">IFERROR(IF(I196&lt;_xlfn.XLOOKUP(D196,D197:D$1000,I197:I$1000,,0,1),G196*H196-_xlfn.XLOOKUP(D196,D197:D$1000,N197:N$1000,,0,1)*-E196*MAX(1,M196/IFERROR(_xlfn.XLOOKUP(D196,D197:D$1000,L197:L$1000,,0,1),M196)),0),0)</f>
        <v>0</v>
      </c>
      <c r="P196" s="56" t="str" cm="1">
        <f t="array" ref="P196">IF(O196&lt;0,1,IF(E196&lt;0, _xlfn.LET(_xlpm.v_cant, ABS(E196), _xlpm.v_fecha, B196, _xlpm.v_ticker, D196, _xlpm.rango_f, B197:B$1000, _xlpm.rango_t, E197:E$1000, _xlpm.filtro, D197:D$1000=_xlpm.v_ticker, _xlpm.c_fechas, _xlfn._xlws.FILTER(_xlpm.rango_f, _xlpm.filtro*(_xlpm.rango_t&gt;0), _xlpm.v_fecha), _xlpm.c_cants, _xlfn._xlws.FILTER(_xlpm.rango_t, _xlpm.filtro*(_xlpm.rango_t&gt;0), 0), _xlpm.v_acums_pasadas, ABS(SUMIFS(E197:E$1000, D197:D$1000, _xlpm.v_ticker, E197:E$1000,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7" spans="1:16" x14ac:dyDescent="0.45">
      <c r="A197" s="3" t="s">
        <v>28</v>
      </c>
      <c r="B197" s="4">
        <f t="shared" si="3"/>
        <v>45772</v>
      </c>
      <c r="C197" s="3" t="s">
        <v>90</v>
      </c>
      <c r="D197" s="3" t="s">
        <v>112</v>
      </c>
      <c r="E197" s="3">
        <v>0.12159295000000001</v>
      </c>
      <c r="F197" s="3">
        <v>65.628799999999998</v>
      </c>
      <c r="G197" s="3">
        <v>-7.99</v>
      </c>
      <c r="H197" s="5">
        <v>19.547799999999999</v>
      </c>
      <c r="I197" s="8">
        <f>SUMIF(D197:D$1000,D197,E197:E$1000)</f>
        <v>0.89116949000000001</v>
      </c>
      <c r="J197" s="9" cm="1">
        <f t="array" ref="J197">IF(I197&gt;IFERROR(_xlfn.XLOOKUP(D197,D198:D$1000,I198:I$1000,,0,1),0),(IFERROR(_xlfn.XLOOKUP(D197,D198:D$1000,J198:J$1000,,0,1),0)*IFERROR(_xlfn.XLOOKUP(D197,D198:D$1000,I198:I$1000,,0,1),0)-G197*H197)/I197,_xlfn.XLOOKUP(D197,D198:D$1000,J198:J$1000,,0,1))</f>
        <v>1248.0281531787118</v>
      </c>
      <c r="K197" s="10" cm="1">
        <f t="array" ref="K197">IFERROR(IF(I197&lt;_xlfn.XLOOKUP(D197,D198:D$1000,I198:I$1000,,0,1),G197*H197-_xlfn.XLOOKUP(D197,D198:D$1000,J198:J$1000,,0,1)*-E197,0),0)</f>
        <v>0</v>
      </c>
      <c r="L197" s="56">
        <v>139.62</v>
      </c>
      <c r="M197" s="56">
        <v>139.161</v>
      </c>
      <c r="N197" s="59" cm="1">
        <f t="array" ref="N197">IF(I197&gt;_xlfn.XLOOKUP(D197,D198:D$1000,I198:I$1000,0,0,1),(_xlfn.XLOOKUP(D197,D198:D$1000,N198:N$1000,0,0,1)*MAX(1,L197/_xlfn.XLOOKUP(D197,D198:D$1000,L198:L$1000,L197,0,1))*_xlfn.XLOOKUP(D197,D198:D$1000,I198:I$1000,0,0,1)-G197*H197)/I197,_xlfn.XLOOKUP(D197,D198:D$1000,N198:N$1000,,0,1)*MAX(1,L197/_xlfn.XLOOKUP(D197,D198:D$1000,L198:L$1000,,0,1)))</f>
        <v>1258.2030815738606</v>
      </c>
      <c r="O197" s="59" cm="1">
        <f t="array" ref="O197">IFERROR(IF(I197&lt;_xlfn.XLOOKUP(D197,D198:D$1000,I198:I$1000,,0,1),G197*H197-_xlfn.XLOOKUP(D197,D198:D$1000,N198:N$1000,,0,1)*-E197*MAX(1,M197/IFERROR(_xlfn.XLOOKUP(D197,D198:D$1000,L198:L$1000,,0,1),M197)),0),0)</f>
        <v>0</v>
      </c>
      <c r="P197" s="56" t="str" cm="1">
        <f t="array" ref="P197">IF(O197&lt;0,1,IF(E197&lt;0, _xlfn.LET(_xlpm.v_cant, ABS(E197), _xlpm.v_fecha, B197, _xlpm.v_ticker, D197, _xlpm.rango_f, B198:B$1000, _xlpm.rango_t, E198:E$1000, _xlpm.filtro, D198:D$1000=_xlpm.v_ticker, _xlpm.c_fechas, _xlfn._xlws.FILTER(_xlpm.rango_f, _xlpm.filtro*(_xlpm.rango_t&gt;0), _xlpm.v_fecha), _xlpm.c_cants, _xlfn._xlws.FILTER(_xlpm.rango_t, _xlpm.filtro*(_xlpm.rango_t&gt;0), 0), _xlpm.v_acums_pasadas, ABS(SUMIFS(E198:E$1000, D198:D$1000, _xlpm.v_ticker, E198:E$1000,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8" spans="1:16" x14ac:dyDescent="0.45">
      <c r="A198" s="3" t="s">
        <v>28</v>
      </c>
      <c r="B198" s="4">
        <f t="shared" si="3"/>
        <v>45772</v>
      </c>
      <c r="C198" s="3" t="s">
        <v>90</v>
      </c>
      <c r="D198" s="3" t="s">
        <v>145</v>
      </c>
      <c r="E198" s="3">
        <v>0.23060917</v>
      </c>
      <c r="F198" s="3">
        <v>86.51</v>
      </c>
      <c r="G198" s="3">
        <v>-19.989999999999998</v>
      </c>
      <c r="H198" s="5">
        <v>19.547799999999999</v>
      </c>
      <c r="I198" s="8">
        <f>SUMIF(D198:D$1000,D198,E198:E$1000)</f>
        <v>0.23060917</v>
      </c>
      <c r="J198" s="9" cm="1">
        <f t="array" ref="J198">IF(I198&gt;IFERROR(_xlfn.XLOOKUP(D198,D199:D$1000,I199:I$1000,,0,1),0),(IFERROR(_xlfn.XLOOKUP(D198,D199:D$1000,J199:J$1000,,0,1),0)*IFERROR(_xlfn.XLOOKUP(D198,D199:D$1000,I199:I$1000,,0,1),0)-G198*H198)/I198,_xlfn.XLOOKUP(D198,D199:D$1000,J199:J$1000,,0,1))</f>
        <v>1694.4708746837773</v>
      </c>
      <c r="K198" s="10" cm="1">
        <f t="array" ref="K198">IFERROR(IF(I198&lt;_xlfn.XLOOKUP(D198,D199:D$1000,I199:I$1000,,0,1),G198*H198-_xlfn.XLOOKUP(D198,D199:D$1000,J199:J$1000,,0,1)*-E198,0),0)</f>
        <v>0</v>
      </c>
      <c r="L198" s="56">
        <v>139.62</v>
      </c>
      <c r="M198" s="56">
        <v>139.161</v>
      </c>
      <c r="N198" s="59" cm="1">
        <f t="array" ref="N198">IF(I198&gt;_xlfn.XLOOKUP(D198,D199:D$1000,I199:I$1000,0,0,1),(_xlfn.XLOOKUP(D198,D199:D$1000,N199:N$1000,0,0,1)*MAX(1,L198/_xlfn.XLOOKUP(D198,D199:D$1000,L199:L$1000,L198,0,1))*_xlfn.XLOOKUP(D198,D199:D$1000,I199:I$1000,0,0,1)-G198*H198)/I198,_xlfn.XLOOKUP(D198,D199:D$1000,N199:N$1000,,0,1)*MAX(1,L198/_xlfn.XLOOKUP(D198,D199:D$1000,L199:L$1000,,0,1)))</f>
        <v>1694.4708746837773</v>
      </c>
      <c r="O198" s="59" cm="1">
        <f t="array" ref="O198">IFERROR(IF(I198&lt;_xlfn.XLOOKUP(D198,D199:D$1000,I199:I$1000,,0,1),G198*H198-_xlfn.XLOOKUP(D198,D199:D$1000,N199:N$1000,,0,1)*-E198*MAX(1,M198/IFERROR(_xlfn.XLOOKUP(D198,D199:D$1000,L199:L$1000,,0,1),M198)),0),0)</f>
        <v>0</v>
      </c>
      <c r="P198" s="56" t="str" cm="1">
        <f t="array" ref="P198">IF(O198&lt;0,1,IF(E198&lt;0, _xlfn.LET(_xlpm.v_cant, ABS(E198), _xlpm.v_fecha, B198, _xlpm.v_ticker, D198, _xlpm.rango_f, B199:B$1000, _xlpm.rango_t, E199:E$1000, _xlpm.filtro, D199:D$1000=_xlpm.v_ticker, _xlpm.c_fechas, _xlfn._xlws.FILTER(_xlpm.rango_f, _xlpm.filtro*(_xlpm.rango_t&gt;0), _xlpm.v_fecha), _xlpm.c_cants, _xlfn._xlws.FILTER(_xlpm.rango_t, _xlpm.filtro*(_xlpm.rango_t&gt;0), 0), _xlpm.v_acums_pasadas, ABS(SUMIFS(E199:E$1000, D199:D$1000, _xlpm.v_ticker, E199:E$1000,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199" spans="1:16" x14ac:dyDescent="0.45">
      <c r="A199" s="3" t="s">
        <v>28</v>
      </c>
      <c r="B199" s="4">
        <f t="shared" si="3"/>
        <v>45772</v>
      </c>
      <c r="C199" s="3" t="s">
        <v>90</v>
      </c>
      <c r="D199" s="3" t="s">
        <v>116</v>
      </c>
      <c r="E199" s="3">
        <v>3.1788610000000002E-2</v>
      </c>
      <c r="F199" s="3">
        <v>470.60879999999997</v>
      </c>
      <c r="G199" s="3">
        <v>-14.99</v>
      </c>
      <c r="H199" s="5">
        <v>19.547799999999999</v>
      </c>
      <c r="I199" s="8">
        <f>SUMIF(D199:D$1000,D199,E199:E$1000)</f>
        <v>0.17206948</v>
      </c>
      <c r="J199" s="9" cm="1">
        <f t="array" ref="J199">IF(I199&gt;IFERROR(_xlfn.XLOOKUP(D199,D200:D$1000,I200:I$1000,,0,1),0),(IFERROR(_xlfn.XLOOKUP(D199,D200:D$1000,J200:J$1000,,0,1),0)*IFERROR(_xlfn.XLOOKUP(D199,D200:D$1000,I200:I$1000,,0,1),0)-G199*H199)/I199,_xlfn.XLOOKUP(D199,D200:D$1000,J200:J$1000,,0,1))</f>
        <v>10394.532964242118</v>
      </c>
      <c r="K199" s="10" cm="1">
        <f t="array" ref="K199">IFERROR(IF(I199&lt;_xlfn.XLOOKUP(D199,D200:D$1000,I200:I$1000,,0,1),G199*H199-_xlfn.XLOOKUP(D199,D200:D$1000,J200:J$1000,,0,1)*-E199,0),0)</f>
        <v>0</v>
      </c>
      <c r="L199" s="56">
        <v>139.62</v>
      </c>
      <c r="M199" s="56">
        <v>139.161</v>
      </c>
      <c r="N199" s="59" cm="1">
        <f t="array" ref="N199">IF(I199&gt;_xlfn.XLOOKUP(D199,D200:D$1000,I200:I$1000,0,0,1),(_xlfn.XLOOKUP(D199,D200:D$1000,N200:N$1000,0,0,1)*MAX(1,L199/_xlfn.XLOOKUP(D199,D200:D$1000,L200:L$1000,L199,0,1))*_xlfn.XLOOKUP(D199,D200:D$1000,I200:I$1000,0,0,1)-G199*H199)/I199,_xlfn.XLOOKUP(D199,D200:D$1000,N200:N$1000,,0,1)*MAX(1,L199/_xlfn.XLOOKUP(D199,D200:D$1000,L200:L$1000,,0,1)))</f>
        <v>10499.815901488631</v>
      </c>
      <c r="O199" s="59" cm="1">
        <f t="array" ref="O199">IFERROR(IF(I199&lt;_xlfn.XLOOKUP(D199,D200:D$1000,I200:I$1000,,0,1),G199*H199-_xlfn.XLOOKUP(D199,D200:D$1000,N200:N$1000,,0,1)*-E199*MAX(1,M199/IFERROR(_xlfn.XLOOKUP(D199,D200:D$1000,L200:L$1000,,0,1),M199)),0),0)</f>
        <v>0</v>
      </c>
      <c r="P199" s="56" t="str" cm="1">
        <f t="array" ref="P199">IF(O199&lt;0,1,IF(E199&lt;0, _xlfn.LET(_xlpm.v_cant, ABS(E199), _xlpm.v_fecha, B199, _xlpm.v_ticker, D199, _xlpm.rango_f, B200:B$1000, _xlpm.rango_t, E200:E$1000, _xlpm.filtro, D200:D$1000=_xlpm.v_ticker, _xlpm.c_fechas, _xlfn._xlws.FILTER(_xlpm.rango_f, _xlpm.filtro*(_xlpm.rango_t&gt;0), _xlpm.v_fecha), _xlpm.c_cants, _xlfn._xlws.FILTER(_xlpm.rango_t, _xlpm.filtro*(_xlpm.rango_t&gt;0), 0), _xlpm.v_acums_pasadas, ABS(SUMIFS(E200:E$1000, D200:D$1000, _xlpm.v_ticker, E200:E$1000,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00" spans="1:16" x14ac:dyDescent="0.45">
      <c r="A200" s="3" t="s">
        <v>27</v>
      </c>
      <c r="B200" s="4">
        <f t="shared" si="3"/>
        <v>45764</v>
      </c>
      <c r="C200" s="3" t="s">
        <v>90</v>
      </c>
      <c r="D200" s="3" t="s">
        <v>142</v>
      </c>
      <c r="E200" s="3">
        <v>0.67972741999999997</v>
      </c>
      <c r="F200" s="3">
        <v>88.05</v>
      </c>
      <c r="G200" s="3">
        <v>-59.99</v>
      </c>
      <c r="H200" s="5">
        <v>19.973700000000001</v>
      </c>
      <c r="I200" s="8">
        <f>SUMIF(D200:D$1000,D200,E200:E$1000)</f>
        <v>0.67972741999999997</v>
      </c>
      <c r="J200" s="9" cm="1">
        <f t="array" ref="J200">IF(I200&gt;IFERROR(_xlfn.XLOOKUP(D200,D201:D$1000,I201:I$1000,,0,1),0),(IFERROR(_xlfn.XLOOKUP(D200,D201:D$1000,J201:J$1000,,0,1),0)*IFERROR(_xlfn.XLOOKUP(D200,D201:D$1000,I201:I$1000,,0,1),0)-G200*H200)/I200,_xlfn.XLOOKUP(D200,D201:D$1000,J201:J$1000,,0,1))</f>
        <v>1762.7981860728821</v>
      </c>
      <c r="K200" s="10" cm="1">
        <f t="array" ref="K200">IFERROR(IF(I200&lt;_xlfn.XLOOKUP(D200,D201:D$1000,I201:I$1000,,0,1),G200*H200-_xlfn.XLOOKUP(D200,D201:D$1000,J201:J$1000,,0,1)*-E200,0),0)</f>
        <v>0</v>
      </c>
      <c r="L200" s="56">
        <v>139.62</v>
      </c>
      <c r="M200" s="56">
        <v>139.161</v>
      </c>
      <c r="N200" s="59" cm="1">
        <f t="array" ref="N200">IF(I200&gt;_xlfn.XLOOKUP(D200,D201:D$1000,I201:I$1000,0,0,1),(_xlfn.XLOOKUP(D200,D201:D$1000,N201:N$1000,0,0,1)*MAX(1,L200/_xlfn.XLOOKUP(D200,D201:D$1000,L201:L$1000,L200,0,1))*_xlfn.XLOOKUP(D200,D201:D$1000,I201:I$1000,0,0,1)-G200*H200)/I200,_xlfn.XLOOKUP(D200,D201:D$1000,N201:N$1000,,0,1)*MAX(1,L200/_xlfn.XLOOKUP(D200,D201:D$1000,L201:L$1000,,0,1)))</f>
        <v>1762.7981860728821</v>
      </c>
      <c r="O200" s="59" cm="1">
        <f t="array" ref="O200">IFERROR(IF(I200&lt;_xlfn.XLOOKUP(D200,D201:D$1000,I201:I$1000,,0,1),G200*H200-_xlfn.XLOOKUP(D200,D201:D$1000,N201:N$1000,,0,1)*-E200*MAX(1,M200/IFERROR(_xlfn.XLOOKUP(D200,D201:D$1000,L201:L$1000,,0,1),M200)),0),0)</f>
        <v>0</v>
      </c>
      <c r="P200" s="56" t="str" cm="1">
        <f t="array" ref="P200">IF(O200&lt;0,1,IF(E200&lt;0, _xlfn.LET(_xlpm.v_cant, ABS(E200), _xlpm.v_fecha, B200, _xlpm.v_ticker, D200, _xlpm.rango_f, B201:B$1000, _xlpm.rango_t, E201:E$1000, _xlpm.filtro, D201:D$1000=_xlpm.v_ticker, _xlpm.c_fechas, _xlfn._xlws.FILTER(_xlpm.rango_f, _xlpm.filtro*(_xlpm.rango_t&gt;0), _xlpm.v_fecha), _xlpm.c_cants, _xlfn._xlws.FILTER(_xlpm.rango_t, _xlpm.filtro*(_xlpm.rango_t&gt;0), 0), _xlpm.v_acums_pasadas, ABS(SUMIFS(E201:E$1000, D201:D$1000, _xlpm.v_ticker, E201:E$1000,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01" spans="1:16" x14ac:dyDescent="0.45">
      <c r="A201" s="3" t="s">
        <v>26</v>
      </c>
      <c r="B201" s="4">
        <f t="shared" si="3"/>
        <v>45756</v>
      </c>
      <c r="C201" s="3" t="s">
        <v>90</v>
      </c>
      <c r="D201" s="3" t="s">
        <v>135</v>
      </c>
      <c r="E201" s="3">
        <v>0.10597225</v>
      </c>
      <c r="F201" s="3">
        <v>110.0288</v>
      </c>
      <c r="G201" s="3">
        <v>-11.68</v>
      </c>
      <c r="H201" s="5">
        <v>20.7653</v>
      </c>
      <c r="I201" s="8">
        <f>SUMIF(D201:D$1000,D201,E201:E$1000)</f>
        <v>0.63460247000000003</v>
      </c>
      <c r="J201" s="9" cm="1">
        <f t="array" ref="J201">IF(I201&gt;IFERROR(_xlfn.XLOOKUP(D201,D202:D$1000,I202:I$1000,,0,1),0),(IFERROR(_xlfn.XLOOKUP(D201,D202:D$1000,J202:J$1000,,0,1),0)*IFERROR(_xlfn.XLOOKUP(D201,D202:D$1000,I202:I$1000,,0,1),0)-G201*H201)/I201,_xlfn.XLOOKUP(D201,D202:D$1000,J202:J$1000,,0,1))</f>
        <v>2423.3402810423977</v>
      </c>
      <c r="K201" s="10" cm="1">
        <f t="array" ref="K201">IFERROR(IF(I201&lt;_xlfn.XLOOKUP(D201,D202:D$1000,I202:I$1000,,0,1),G201*H201-_xlfn.XLOOKUP(D201,D202:D$1000,J202:J$1000,,0,1)*-E201,0),0)</f>
        <v>0</v>
      </c>
      <c r="L201" s="56">
        <v>139.62</v>
      </c>
      <c r="M201" s="56">
        <v>139.161</v>
      </c>
      <c r="N201" s="59" cm="1">
        <f t="array" ref="N201">IF(I201&gt;_xlfn.XLOOKUP(D201,D202:D$1000,I202:I$1000,0,0,1),(_xlfn.XLOOKUP(D201,D202:D$1000,N202:N$1000,0,0,1)*MAX(1,L201/_xlfn.XLOOKUP(D201,D202:D$1000,L202:L$1000,L201,0,1))*_xlfn.XLOOKUP(D201,D202:D$1000,I202:I$1000,0,0,1)-G201*H201)/I201,_xlfn.XLOOKUP(D201,D202:D$1000,N202:N$1000,,0,1)*MAX(1,L201/_xlfn.XLOOKUP(D201,D202:D$1000,L202:L$1000,,0,1)))</f>
        <v>2437.5112621365779</v>
      </c>
      <c r="O201" s="59" cm="1">
        <f t="array" ref="O201">IFERROR(IF(I201&lt;_xlfn.XLOOKUP(D201,D202:D$1000,I202:I$1000,,0,1),G201*H201-_xlfn.XLOOKUP(D201,D202:D$1000,N202:N$1000,,0,1)*-E201*MAX(1,M201/IFERROR(_xlfn.XLOOKUP(D201,D202:D$1000,L202:L$1000,,0,1),M201)),0),0)</f>
        <v>0</v>
      </c>
      <c r="P201" s="56" t="str" cm="1">
        <f t="array" ref="P201">IF(O201&lt;0,1,IF(E201&lt;0, _xlfn.LET(_xlpm.v_cant, ABS(E201), _xlpm.v_fecha, B201, _xlpm.v_ticker, D201, _xlpm.rango_f, B202:B$1000, _xlpm.rango_t, E202:E$1000, _xlpm.filtro, D202:D$1000=_xlpm.v_ticker, _xlpm.c_fechas, _xlfn._xlws.FILTER(_xlpm.rango_f, _xlpm.filtro*(_xlpm.rango_t&gt;0), _xlpm.v_fecha), _xlpm.c_cants, _xlfn._xlws.FILTER(_xlpm.rango_t, _xlpm.filtro*(_xlpm.rango_t&gt;0), 0), _xlpm.v_acums_pasadas, ABS(SUMIFS(E202:E$1000, D202:D$1000, _xlpm.v_ticker, E202:E$1000,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02" spans="1:16" x14ac:dyDescent="0.45">
      <c r="A202" s="3" t="s">
        <v>26</v>
      </c>
      <c r="B202" s="4">
        <f t="shared" si="3"/>
        <v>45756</v>
      </c>
      <c r="C202" s="3" t="s">
        <v>91</v>
      </c>
      <c r="D202" s="3" t="s">
        <v>134</v>
      </c>
      <c r="E202" s="3">
        <v>-0.29614136000000002</v>
      </c>
      <c r="F202" s="3">
        <v>28.941199999999998</v>
      </c>
      <c r="G202" s="3">
        <v>8.5500000000000007</v>
      </c>
      <c r="H202" s="5">
        <v>20.7653</v>
      </c>
      <c r="I202" s="8">
        <f>SUMIF(D202:D$1000,D202,E202:E$1000)</f>
        <v>1.5344800000000047E-3</v>
      </c>
      <c r="J202" s="9" cm="1">
        <f t="array" ref="J202">IF(I202&gt;IFERROR(_xlfn.XLOOKUP(D202,D203:D$1000,I203:I$1000,,0,1),0),(IFERROR(_xlfn.XLOOKUP(D202,D203:D$1000,J203:J$1000,,0,1),0)*IFERROR(_xlfn.XLOOKUP(D202,D203:D$1000,I203:I$1000,,0,1),0)-G202*H202)/I202,_xlfn.XLOOKUP(D202,D203:D$1000,J203:J$1000,,0,1))</f>
        <v>894.54335813447938</v>
      </c>
      <c r="K202" s="10" cm="1">
        <f t="array" ref="K202">IFERROR(IF(I202&lt;_xlfn.XLOOKUP(D202,D203:D$1000,I203:I$1000,,0,1),G202*H202-_xlfn.XLOOKUP(D202,D203:D$1000,J203:J$1000,,0,1)*-E202,0),0)</f>
        <v>-87.367971656911777</v>
      </c>
      <c r="L202" s="56">
        <v>139.62</v>
      </c>
      <c r="M202" s="56">
        <v>139.161</v>
      </c>
      <c r="N202" s="59" cm="1">
        <f t="array" ref="N202">IF(I202&gt;_xlfn.XLOOKUP(D202,D203:D$1000,I203:I$1000,0,0,1),(_xlfn.XLOOKUP(D202,D203:D$1000,N203:N$1000,0,0,1)*MAX(1,L202/_xlfn.XLOOKUP(D202,D203:D$1000,L203:L$1000,L202,0,1))*_xlfn.XLOOKUP(D202,D203:D$1000,I203:I$1000,0,0,1)-G202*H202)/I202,_xlfn.XLOOKUP(D202,D203:D$1000,N203:N$1000,,0,1)*MAX(1,L202/_xlfn.XLOOKUP(D202,D203:D$1000,L203:L$1000,,0,1)))</f>
        <v>894.54335813447938</v>
      </c>
      <c r="O202" s="59" cm="1">
        <f t="array" ref="O202">IFERROR(IF(I202&lt;_xlfn.XLOOKUP(D202,D203:D$1000,I203:I$1000,,0,1),G202*H202-_xlfn.XLOOKUP(D202,D203:D$1000,N203:N$1000,,0,1)*-E202*MAX(1,M202/IFERROR(_xlfn.XLOOKUP(D202,D203:D$1000,L203:L$1000,,0,1),M202)),0),0)</f>
        <v>-87.367971656911777</v>
      </c>
      <c r="P202" s="56" cm="1">
        <f t="array" ref="P202">IF(O202&lt;0,1,IF(E202&lt;0, _xlfn.LET(_xlpm.v_cant, ABS(E202), _xlpm.v_fecha, B202, _xlpm.v_ticker, D202, _xlpm.rango_f, B203:B$1000, _xlpm.rango_t, E203:E$1000, _xlpm.filtro, D203:D$1000=_xlpm.v_ticker, _xlpm.c_fechas, _xlfn._xlws.FILTER(_xlpm.rango_f, _xlpm.filtro*(_xlpm.rango_t&gt;0), _xlpm.v_fecha), _xlpm.c_cants, _xlfn._xlws.FILTER(_xlpm.rango_t, _xlpm.filtro*(_xlpm.rango_t&gt;0), 0), _xlpm.v_acums_pasadas, ABS(SUMIFS(E203:E$1000, D203:D$1000, _xlpm.v_ticker, E203:E$1000,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03" spans="1:16" x14ac:dyDescent="0.45">
      <c r="A203" s="3" t="s">
        <v>26</v>
      </c>
      <c r="B203" s="4">
        <f t="shared" si="3"/>
        <v>45756</v>
      </c>
      <c r="C203" s="3" t="s">
        <v>91</v>
      </c>
      <c r="D203" s="3" t="s">
        <v>133</v>
      </c>
      <c r="E203" s="3">
        <v>-1</v>
      </c>
      <c r="F203" s="3">
        <v>7.8411999999999997</v>
      </c>
      <c r="G203" s="3">
        <v>7.84</v>
      </c>
      <c r="H203" s="5">
        <v>20.7653</v>
      </c>
      <c r="I203" s="8">
        <f>SUMIF(D203:D$1000,D203,E203:E$1000)</f>
        <v>3.7396049999999903E-2</v>
      </c>
      <c r="J203" s="9" cm="1">
        <f t="array" ref="J203">IF(I203&gt;IFERROR(_xlfn.XLOOKUP(D203,D204:D$1000,I204:I$1000,,0,1),0),(IFERROR(_xlfn.XLOOKUP(D203,D204:D$1000,J204:J$1000,,0,1),0)*IFERROR(_xlfn.XLOOKUP(D203,D204:D$1000,I204:I$1000,,0,1),0)-G203*H203)/I203,_xlfn.XLOOKUP(D203,D204:D$1000,J204:J$1000,,0,1))</f>
        <v>181.56761719847097</v>
      </c>
      <c r="K203" s="10" cm="1">
        <f t="array" ref="K203">IFERROR(IF(I203&lt;_xlfn.XLOOKUP(D203,D204:D$1000,I204:I$1000,,0,1),G203*H203-_xlfn.XLOOKUP(D203,D204:D$1000,J204:J$1000,,0,1)*-E203,0),0)</f>
        <v>-18.767665198470979</v>
      </c>
      <c r="L203" s="56">
        <v>139.62</v>
      </c>
      <c r="M203" s="56">
        <v>139.161</v>
      </c>
      <c r="N203" s="59" cm="1">
        <f t="array" ref="N203">IF(I203&gt;_xlfn.XLOOKUP(D203,D204:D$1000,I204:I$1000,0,0,1),(_xlfn.XLOOKUP(D203,D204:D$1000,N204:N$1000,0,0,1)*MAX(1,L203/_xlfn.XLOOKUP(D203,D204:D$1000,L204:L$1000,L203,0,1))*_xlfn.XLOOKUP(D203,D204:D$1000,I204:I$1000,0,0,1)-G203*H203)/I203,_xlfn.XLOOKUP(D203,D204:D$1000,N204:N$1000,,0,1)*MAX(1,L203/_xlfn.XLOOKUP(D203,D204:D$1000,L204:L$1000,,0,1)))</f>
        <v>181.56761719847097</v>
      </c>
      <c r="O203" s="59" cm="1">
        <f t="array" ref="O203">IFERROR(IF(I203&lt;_xlfn.XLOOKUP(D203,D204:D$1000,I204:I$1000,,0,1),G203*H203-_xlfn.XLOOKUP(D203,D204:D$1000,N204:N$1000,,0,1)*-E203*MAX(1,M203/IFERROR(_xlfn.XLOOKUP(D203,D204:D$1000,L204:L$1000,,0,1),M203)),0),0)</f>
        <v>-18.767665198470979</v>
      </c>
      <c r="P203" s="56" cm="1">
        <f t="array" ref="P203">IF(O203&lt;0,1,IF(E203&lt;0, _xlfn.LET(_xlpm.v_cant, ABS(E203), _xlpm.v_fecha, B203, _xlpm.v_ticker, D203, _xlpm.rango_f, B204:B$1000, _xlpm.rango_t, E204:E$1000, _xlpm.filtro, D204:D$1000=_xlpm.v_ticker, _xlpm.c_fechas, _xlfn._xlws.FILTER(_xlpm.rango_f, _xlpm.filtro*(_xlpm.rango_t&gt;0), _xlpm.v_fecha), _xlpm.c_cants, _xlfn._xlws.FILTER(_xlpm.rango_t, _xlpm.filtro*(_xlpm.rango_t&gt;0), 0), _xlpm.v_acums_pasadas, ABS(SUMIFS(E204:E$1000, D204:D$1000, _xlpm.v_ticker, E204:E$1000,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04" spans="1:16" x14ac:dyDescent="0.45">
      <c r="A204" s="3" t="s">
        <v>26</v>
      </c>
      <c r="B204" s="4">
        <f t="shared" si="3"/>
        <v>45756</v>
      </c>
      <c r="C204" s="3" t="s">
        <v>91</v>
      </c>
      <c r="D204" s="3" t="s">
        <v>133</v>
      </c>
      <c r="E204" s="3">
        <v>-0.26953727999999999</v>
      </c>
      <c r="F204" s="3">
        <v>7.8411999999999997</v>
      </c>
      <c r="G204" s="3">
        <v>2.09</v>
      </c>
      <c r="H204" s="5">
        <v>20.7653</v>
      </c>
      <c r="I204" s="8">
        <f>SUMIF(D204:D$1000,D204,E204:E$1000)</f>
        <v>1.0373960499999999</v>
      </c>
      <c r="J204" s="9" cm="1">
        <f t="array" ref="J204">IF(I204&gt;IFERROR(_xlfn.XLOOKUP(D204,D205:D$1000,I205:I$1000,,0,1),0),(IFERROR(_xlfn.XLOOKUP(D204,D205:D$1000,J205:J$1000,,0,1),0)*IFERROR(_xlfn.XLOOKUP(D204,D205:D$1000,I205:I$1000,,0,1),0)-G204*H204)/I204,_xlfn.XLOOKUP(D204,D205:D$1000,J205:J$1000,,0,1))</f>
        <v>181.56761719847097</v>
      </c>
      <c r="K204" s="10" cm="1">
        <f t="array" ref="K204">IFERROR(IF(I204&lt;_xlfn.XLOOKUP(D204,D205:D$1000,I205:I$1000,,0,1),G204*H204-_xlfn.XLOOKUP(D204,D205:D$1000,J205:J$1000,,0,1)*-E204,0),0)</f>
        <v>-5.539764675757084</v>
      </c>
      <c r="L204" s="56">
        <v>139.62</v>
      </c>
      <c r="M204" s="56">
        <v>139.161</v>
      </c>
      <c r="N204" s="59" cm="1">
        <f t="array" ref="N204">IF(I204&gt;_xlfn.XLOOKUP(D204,D205:D$1000,I205:I$1000,0,0,1),(_xlfn.XLOOKUP(D204,D205:D$1000,N205:N$1000,0,0,1)*MAX(1,L204/_xlfn.XLOOKUP(D204,D205:D$1000,L205:L$1000,L204,0,1))*_xlfn.XLOOKUP(D204,D205:D$1000,I205:I$1000,0,0,1)-G204*H204)/I204,_xlfn.XLOOKUP(D204,D205:D$1000,N205:N$1000,,0,1)*MAX(1,L204/_xlfn.XLOOKUP(D204,D205:D$1000,L205:L$1000,,0,1)))</f>
        <v>181.56761719847097</v>
      </c>
      <c r="O204" s="59" cm="1">
        <f t="array" ref="O204">IFERROR(IF(I204&lt;_xlfn.XLOOKUP(D204,D205:D$1000,I205:I$1000,,0,1),G204*H204-_xlfn.XLOOKUP(D204,D205:D$1000,N205:N$1000,,0,1)*-E204*MAX(1,M204/IFERROR(_xlfn.XLOOKUP(D204,D205:D$1000,L205:L$1000,,0,1),M204)),0),0)</f>
        <v>-5.539764675757084</v>
      </c>
      <c r="P204" s="56" cm="1">
        <f t="array" ref="P204">IF(O204&lt;0,1,IF(E204&lt;0, _xlfn.LET(_xlpm.v_cant, ABS(E204), _xlpm.v_fecha, B204, _xlpm.v_ticker, D204, _xlpm.rango_f, B205:B$1000, _xlpm.rango_t, E205:E$1000, _xlpm.filtro, D205:D$1000=_xlpm.v_ticker, _xlpm.c_fechas, _xlfn._xlws.FILTER(_xlpm.rango_f, _xlpm.filtro*(_xlpm.rango_t&gt;0), _xlpm.v_fecha), _xlpm.c_cants, _xlfn._xlws.FILTER(_xlpm.rango_t, _xlpm.filtro*(_xlpm.rango_t&gt;0), 0), _xlpm.v_acums_pasadas, ABS(SUMIFS(E205:E$1000, D205:D$1000, _xlpm.v_ticker, E205:E$1000,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05" spans="1:16" x14ac:dyDescent="0.45">
      <c r="A205" s="3" t="s">
        <v>26</v>
      </c>
      <c r="B205" s="4">
        <f t="shared" si="3"/>
        <v>45756</v>
      </c>
      <c r="C205" s="3" t="s">
        <v>90</v>
      </c>
      <c r="D205" s="3" t="s">
        <v>117</v>
      </c>
      <c r="E205" s="3">
        <v>1.270284E-2</v>
      </c>
      <c r="F205" s="3">
        <v>397.54880000000003</v>
      </c>
      <c r="G205" s="3">
        <v>-5.0599999999999996</v>
      </c>
      <c r="H205" s="5">
        <v>20.7653</v>
      </c>
      <c r="I205" s="8">
        <f>SUMIF(D205:D$1000,D205,E205:E$1000)</f>
        <v>0.15009154</v>
      </c>
      <c r="J205" s="9" cm="1">
        <f t="array" ref="J205">IF(I205&gt;IFERROR(_xlfn.XLOOKUP(D205,D206:D$1000,I206:I$1000,,0,1),0),(IFERROR(_xlfn.XLOOKUP(D205,D206:D$1000,J206:J$1000,,0,1),0)*IFERROR(_xlfn.XLOOKUP(D205,D206:D$1000,I206:I$1000,,0,1),0)-G205*H205)/I205,_xlfn.XLOOKUP(D205,D206:D$1000,J206:J$1000,,0,1))</f>
        <v>8671.5127714726623</v>
      </c>
      <c r="K205" s="10" cm="1">
        <f t="array" ref="K205">IFERROR(IF(I205&lt;_xlfn.XLOOKUP(D205,D206:D$1000,I206:I$1000,,0,1),G205*H205-_xlfn.XLOOKUP(D205,D206:D$1000,J206:J$1000,,0,1)*-E205,0),0)</f>
        <v>0</v>
      </c>
      <c r="L205" s="56">
        <v>139.62</v>
      </c>
      <c r="M205" s="56">
        <v>139.161</v>
      </c>
      <c r="N205" s="59" cm="1">
        <f t="array" ref="N205">IF(I205&gt;_xlfn.XLOOKUP(D205,D206:D$1000,I206:I$1000,0,0,1),(_xlfn.XLOOKUP(D205,D206:D$1000,N206:N$1000,0,0,1)*MAX(1,L205/_xlfn.XLOOKUP(D205,D206:D$1000,L206:L$1000,L205,0,1))*_xlfn.XLOOKUP(D205,D206:D$1000,I206:I$1000,0,0,1)-G205*H205)/I205,_xlfn.XLOOKUP(D205,D206:D$1000,N206:N$1000,,0,1)*MAX(1,L205/_xlfn.XLOOKUP(D205,D206:D$1000,L206:L$1000,,0,1)))</f>
        <v>8768.072405759207</v>
      </c>
      <c r="O205" s="59" cm="1">
        <f t="array" ref="O205">IFERROR(IF(I205&lt;_xlfn.XLOOKUP(D205,D206:D$1000,I206:I$1000,,0,1),G205*H205-_xlfn.XLOOKUP(D205,D206:D$1000,N206:N$1000,,0,1)*-E205*MAX(1,M205/IFERROR(_xlfn.XLOOKUP(D205,D206:D$1000,L206:L$1000,,0,1),M205)),0),0)</f>
        <v>0</v>
      </c>
      <c r="P205" s="56" t="str" cm="1">
        <f t="array" ref="P205">IF(O205&lt;0,1,IF(E205&lt;0, _xlfn.LET(_xlpm.v_cant, ABS(E205), _xlpm.v_fecha, B205, _xlpm.v_ticker, D205, _xlpm.rango_f, B206:B$1000, _xlpm.rango_t, E206:E$1000, _xlpm.filtro, D206:D$1000=_xlpm.v_ticker, _xlpm.c_fechas, _xlfn._xlws.FILTER(_xlpm.rango_f, _xlpm.filtro*(_xlpm.rango_t&gt;0), _xlpm.v_fecha), _xlpm.c_cants, _xlfn._xlws.FILTER(_xlpm.rango_t, _xlpm.filtro*(_xlpm.rango_t&gt;0), 0), _xlpm.v_acums_pasadas, ABS(SUMIFS(E206:E$1000, D206:D$1000, _xlpm.v_ticker, E206:E$1000,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06" spans="1:16" x14ac:dyDescent="0.45">
      <c r="A206" s="3" t="s">
        <v>26</v>
      </c>
      <c r="B206" s="4">
        <f t="shared" si="3"/>
        <v>45756</v>
      </c>
      <c r="C206" s="3" t="s">
        <v>91</v>
      </c>
      <c r="D206" s="3" t="s">
        <v>133</v>
      </c>
      <c r="E206" s="3">
        <v>-0.38560411</v>
      </c>
      <c r="F206" s="3">
        <v>7.9211999999999998</v>
      </c>
      <c r="G206" s="3">
        <v>3.05</v>
      </c>
      <c r="H206" s="5">
        <v>20.7653</v>
      </c>
      <c r="I206" s="8">
        <f>SUMIF(D206:D$1000,D206,E206:E$1000)</f>
        <v>1.3069333299999999</v>
      </c>
      <c r="J206" s="9" cm="1">
        <f t="array" ref="J206">IF(I206&gt;IFERROR(_xlfn.XLOOKUP(D206,D207:D$1000,I207:I$1000,,0,1),0),(IFERROR(_xlfn.XLOOKUP(D206,D207:D$1000,J207:J$1000,,0,1),0)*IFERROR(_xlfn.XLOOKUP(D206,D207:D$1000,I207:I$1000,,0,1),0)-G206*H206)/I206,_xlfn.XLOOKUP(D206,D207:D$1000,J207:J$1000,,0,1))</f>
        <v>181.56761719847097</v>
      </c>
      <c r="K206" s="10" cm="1">
        <f t="array" ref="K206">IFERROR(IF(I206&lt;_xlfn.XLOOKUP(D206,D207:D$1000,I207:I$1000,,0,1),G206*H206-_xlfn.XLOOKUP(D206,D207:D$1000,J207:J$1000,,0,1)*-E206,0),0)</f>
        <v>-6.679054434637095</v>
      </c>
      <c r="L206" s="56">
        <v>139.62</v>
      </c>
      <c r="M206" s="56">
        <v>139.161</v>
      </c>
      <c r="N206" s="59" cm="1">
        <f t="array" ref="N206">IF(I206&gt;_xlfn.XLOOKUP(D206,D207:D$1000,I207:I$1000,0,0,1),(_xlfn.XLOOKUP(D206,D207:D$1000,N207:N$1000,0,0,1)*MAX(1,L206/_xlfn.XLOOKUP(D206,D207:D$1000,L207:L$1000,L206,0,1))*_xlfn.XLOOKUP(D206,D207:D$1000,I207:I$1000,0,0,1)-G206*H206)/I206,_xlfn.XLOOKUP(D206,D207:D$1000,N207:N$1000,,0,1)*MAX(1,L206/_xlfn.XLOOKUP(D206,D207:D$1000,L207:L$1000,,0,1)))</f>
        <v>181.56761719847097</v>
      </c>
      <c r="O206" s="59" cm="1">
        <f t="array" ref="O206">IFERROR(IF(I206&lt;_xlfn.XLOOKUP(D206,D207:D$1000,I207:I$1000,,0,1),G206*H206-_xlfn.XLOOKUP(D206,D207:D$1000,N207:N$1000,,0,1)*-E206*MAX(1,M206/IFERROR(_xlfn.XLOOKUP(D206,D207:D$1000,L207:L$1000,,0,1),M206)),0),0)</f>
        <v>-6.679054434637095</v>
      </c>
      <c r="P206" s="56" cm="1">
        <f t="array" ref="P206">IF(O206&lt;0,1,IF(E206&lt;0, _xlfn.LET(_xlpm.v_cant, ABS(E206), _xlpm.v_fecha, B206, _xlpm.v_ticker, D206, _xlpm.rango_f, B207:B$1000, _xlpm.rango_t, E207:E$1000, _xlpm.filtro, D207:D$1000=_xlpm.v_ticker, _xlpm.c_fechas, _xlfn._xlws.FILTER(_xlpm.rango_f, _xlpm.filtro*(_xlpm.rango_t&gt;0), _xlpm.v_fecha), _xlpm.c_cants, _xlfn._xlws.FILTER(_xlpm.rango_t, _xlpm.filtro*(_xlpm.rango_t&gt;0), 0), _xlpm.v_acums_pasadas, ABS(SUMIFS(E207:E$1000, D207:D$1000, _xlpm.v_ticker, E207:E$1000,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07" spans="1:16" x14ac:dyDescent="0.45">
      <c r="A207" s="3" t="s">
        <v>26</v>
      </c>
      <c r="B207" s="4">
        <f t="shared" si="3"/>
        <v>45756</v>
      </c>
      <c r="C207" s="3" t="s">
        <v>91</v>
      </c>
      <c r="D207" s="3" t="s">
        <v>134</v>
      </c>
      <c r="E207" s="3">
        <v>-8.2072740000000005E-2</v>
      </c>
      <c r="F207" s="3">
        <v>31.441199999999998</v>
      </c>
      <c r="G207" s="3">
        <v>2.58</v>
      </c>
      <c r="H207" s="5">
        <v>20.7653</v>
      </c>
      <c r="I207" s="8">
        <f>SUMIF(D207:D$1000,D207,E207:E$1000)</f>
        <v>0.29767584000000002</v>
      </c>
      <c r="J207" s="9" cm="1">
        <f t="array" ref="J207">IF(I207&gt;IFERROR(_xlfn.XLOOKUP(D207,D208:D$1000,I208:I$1000,,0,1),0),(IFERROR(_xlfn.XLOOKUP(D207,D208:D$1000,J208:J$1000,,0,1),0)*IFERROR(_xlfn.XLOOKUP(D207,D208:D$1000,I208:I$1000,,0,1),0)-G207*H207)/I207,_xlfn.XLOOKUP(D207,D208:D$1000,J208:J$1000,,0,1))</f>
        <v>894.54335813447938</v>
      </c>
      <c r="K207" s="10" cm="1">
        <f t="array" ref="K207">IFERROR(IF(I207&lt;_xlfn.XLOOKUP(D207,D208:D$1000,I208:I$1000,,0,1),G207*H207-_xlfn.XLOOKUP(D207,D208:D$1000,J208:J$1000,,0,1)*-E207,0),0)</f>
        <v>-19.843150450898015</v>
      </c>
      <c r="L207" s="56">
        <v>139.62</v>
      </c>
      <c r="M207" s="56">
        <v>139.161</v>
      </c>
      <c r="N207" s="59" cm="1">
        <f t="array" ref="N207">IF(I207&gt;_xlfn.XLOOKUP(D207,D208:D$1000,I208:I$1000,0,0,1),(_xlfn.XLOOKUP(D207,D208:D$1000,N208:N$1000,0,0,1)*MAX(1,L207/_xlfn.XLOOKUP(D207,D208:D$1000,L208:L$1000,L207,0,1))*_xlfn.XLOOKUP(D207,D208:D$1000,I208:I$1000,0,0,1)-G207*H207)/I207,_xlfn.XLOOKUP(D207,D208:D$1000,N208:N$1000,,0,1)*MAX(1,L207/_xlfn.XLOOKUP(D207,D208:D$1000,L208:L$1000,,0,1)))</f>
        <v>894.54335813447938</v>
      </c>
      <c r="O207" s="59" cm="1">
        <f t="array" ref="O207">IFERROR(IF(I207&lt;_xlfn.XLOOKUP(D207,D208:D$1000,I208:I$1000,,0,1),G207*H207-_xlfn.XLOOKUP(D207,D208:D$1000,N208:N$1000,,0,1)*-E207*MAX(1,M207/IFERROR(_xlfn.XLOOKUP(D207,D208:D$1000,L208:L$1000,,0,1),M207)),0),0)</f>
        <v>-19.843150450898015</v>
      </c>
      <c r="P207" s="56" cm="1">
        <f t="array" ref="P207">IF(O207&lt;0,1,IF(E207&lt;0, _xlfn.LET(_xlpm.v_cant, ABS(E207), _xlpm.v_fecha, B207, _xlpm.v_ticker, D207, _xlpm.rango_f, B208:B$1000, _xlpm.rango_t, E208:E$1000, _xlpm.filtro, D208:D$1000=_xlpm.v_ticker, _xlpm.c_fechas, _xlfn._xlws.FILTER(_xlpm.rango_f, _xlpm.filtro*(_xlpm.rango_t&gt;0), _xlpm.v_fecha), _xlpm.c_cants, _xlfn._xlws.FILTER(_xlpm.rango_t, _xlpm.filtro*(_xlpm.rango_t&gt;0), 0), _xlpm.v_acums_pasadas, ABS(SUMIFS(E208:E$1000, D208:D$1000, _xlpm.v_ticker, E208:E$1000,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08" spans="1:16" x14ac:dyDescent="0.45">
      <c r="A208" s="3" t="s">
        <v>26</v>
      </c>
      <c r="B208" s="4">
        <f t="shared" si="3"/>
        <v>45756</v>
      </c>
      <c r="C208" s="3" t="s">
        <v>90</v>
      </c>
      <c r="D208" s="3" t="s">
        <v>105</v>
      </c>
      <c r="E208" s="3">
        <v>0.15889974000000001</v>
      </c>
      <c r="F208" s="3">
        <v>44.178800000000003</v>
      </c>
      <c r="G208" s="3">
        <v>-7.03</v>
      </c>
      <c r="H208" s="5">
        <v>20.7653</v>
      </c>
      <c r="I208" s="8">
        <f>SUMIF(D208:D$1000,D208,E208:E$1000)</f>
        <v>2.5519974000000003</v>
      </c>
      <c r="J208" s="9" cm="1">
        <f t="array" ref="J208">IF(I208&gt;IFERROR(_xlfn.XLOOKUP(D208,D209:D$1000,I209:I$1000,,0,1),0),(IFERROR(_xlfn.XLOOKUP(D208,D209:D$1000,J209:J$1000,,0,1),0)*IFERROR(_xlfn.XLOOKUP(D208,D209:D$1000,I209:I$1000,,0,1),0)-G208*H208)/I208,_xlfn.XLOOKUP(D208,D209:D$1000,J209:J$1000,,0,1))</f>
        <v>1032.7951129574035</v>
      </c>
      <c r="K208" s="10" cm="1">
        <f t="array" ref="K208">IFERROR(IF(I208&lt;_xlfn.XLOOKUP(D208,D209:D$1000,I209:I$1000,,0,1),G208*H208-_xlfn.XLOOKUP(D208,D209:D$1000,J209:J$1000,,0,1)*-E208,0),0)</f>
        <v>0</v>
      </c>
      <c r="L208" s="56">
        <v>139.62</v>
      </c>
      <c r="M208" s="56">
        <v>139.161</v>
      </c>
      <c r="N208" s="59" cm="1">
        <f t="array" ref="N208">IF(I208&gt;_xlfn.XLOOKUP(D208,D209:D$1000,I209:I$1000,0,0,1),(_xlfn.XLOOKUP(D208,D209:D$1000,N209:N$1000,0,0,1)*MAX(1,L208/_xlfn.XLOOKUP(D208,D209:D$1000,L209:L$1000,L208,0,1))*_xlfn.XLOOKUP(D208,D209:D$1000,I209:I$1000,0,0,1)-G208*H208)/I208,_xlfn.XLOOKUP(D208,D209:D$1000,N209:N$1000,,0,1)*MAX(1,L208/_xlfn.XLOOKUP(D208,D209:D$1000,L209:L$1000,,0,1)))</f>
        <v>1048.595946507822</v>
      </c>
      <c r="O208" s="59" cm="1">
        <f t="array" ref="O208">IFERROR(IF(I208&lt;_xlfn.XLOOKUP(D208,D209:D$1000,I209:I$1000,,0,1),G208*H208-_xlfn.XLOOKUP(D208,D209:D$1000,N209:N$1000,,0,1)*-E208*MAX(1,M208/IFERROR(_xlfn.XLOOKUP(D208,D209:D$1000,L209:L$1000,,0,1),M208)),0),0)</f>
        <v>0</v>
      </c>
      <c r="P208" s="56" t="str" cm="1">
        <f t="array" ref="P208">IF(O208&lt;0,1,IF(E208&lt;0, _xlfn.LET(_xlpm.v_cant, ABS(E208), _xlpm.v_fecha, B208, _xlpm.v_ticker, D208, _xlpm.rango_f, B209:B$1000, _xlpm.rango_t, E209:E$1000, _xlpm.filtro, D209:D$1000=_xlpm.v_ticker, _xlpm.c_fechas, _xlfn._xlws.FILTER(_xlpm.rango_f, _xlpm.filtro*(_xlpm.rango_t&gt;0), _xlpm.v_fecha), _xlpm.c_cants, _xlfn._xlws.FILTER(_xlpm.rango_t, _xlpm.filtro*(_xlpm.rango_t&gt;0), 0), _xlpm.v_acums_pasadas, ABS(SUMIFS(E209:E$1000, D209:D$1000, _xlpm.v_ticker, E209:E$1000,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09" spans="1:16" x14ac:dyDescent="0.45">
      <c r="A209" s="3" t="s">
        <v>26</v>
      </c>
      <c r="B209" s="4">
        <f t="shared" si="3"/>
        <v>45756</v>
      </c>
      <c r="C209" s="3" t="s">
        <v>90</v>
      </c>
      <c r="D209" s="3" t="s">
        <v>98</v>
      </c>
      <c r="E209" s="3">
        <v>6.5923910000000002E-2</v>
      </c>
      <c r="F209" s="3">
        <v>89.648799999999994</v>
      </c>
      <c r="G209" s="3">
        <v>-5.92</v>
      </c>
      <c r="H209" s="5">
        <v>20.7653</v>
      </c>
      <c r="I209" s="8">
        <f>SUMIF(D209:D$1000,D209,E209:E$1000)</f>
        <v>0.23863144999999999</v>
      </c>
      <c r="J209" s="9" cm="1">
        <f t="array" ref="J209">IF(I209&gt;IFERROR(_xlfn.XLOOKUP(D209,D210:D$1000,I210:I$1000,,0,1),0),(IFERROR(_xlfn.XLOOKUP(D209,D210:D$1000,J210:J$1000,,0,1),0)*IFERROR(_xlfn.XLOOKUP(D209,D210:D$1000,I210:I$1000,,0,1),0)-G209*H209)/I209,_xlfn.XLOOKUP(D209,D210:D$1000,J210:J$1000,,0,1))</f>
        <v>2608.9748061288651</v>
      </c>
      <c r="K209" s="10" cm="1">
        <f t="array" ref="K209">IFERROR(IF(I209&lt;_xlfn.XLOOKUP(D209,D210:D$1000,I210:I$1000,,0,1),G209*H209-_xlfn.XLOOKUP(D209,D210:D$1000,J210:J$1000,,0,1)*-E209,0),0)</f>
        <v>0</v>
      </c>
      <c r="L209" s="56">
        <v>139.62</v>
      </c>
      <c r="M209" s="56">
        <v>139.161</v>
      </c>
      <c r="N209" s="59" cm="1">
        <f t="array" ref="N209">IF(I209&gt;_xlfn.XLOOKUP(D209,D210:D$1000,I210:I$1000,0,0,1),(_xlfn.XLOOKUP(D209,D210:D$1000,N210:N$1000,0,0,1)*MAX(1,L209/_xlfn.XLOOKUP(D209,D210:D$1000,L210:L$1000,L209,0,1))*_xlfn.XLOOKUP(D209,D210:D$1000,I210:I$1000,0,0,1)-G209*H209)/I209,_xlfn.XLOOKUP(D209,D210:D$1000,N210:N$1000,,0,1)*MAX(1,L209/_xlfn.XLOOKUP(D209,D210:D$1000,L210:L$1000,,0,1)))</f>
        <v>2634.3376877758751</v>
      </c>
      <c r="O209" s="59" cm="1">
        <f t="array" ref="O209">IFERROR(IF(I209&lt;_xlfn.XLOOKUP(D209,D210:D$1000,I210:I$1000,,0,1),G209*H209-_xlfn.XLOOKUP(D209,D210:D$1000,N210:N$1000,,0,1)*-E209*MAX(1,M209/IFERROR(_xlfn.XLOOKUP(D209,D210:D$1000,L210:L$1000,,0,1),M209)),0),0)</f>
        <v>0</v>
      </c>
      <c r="P209" s="56" t="str" cm="1">
        <f t="array" ref="P209">IF(O209&lt;0,1,IF(E209&lt;0, _xlfn.LET(_xlpm.v_cant, ABS(E209), _xlpm.v_fecha, B209, _xlpm.v_ticker, D209, _xlpm.rango_f, B210:B$1000, _xlpm.rango_t, E210:E$1000, _xlpm.filtro, D210:D$1000=_xlpm.v_ticker, _xlpm.c_fechas, _xlfn._xlws.FILTER(_xlpm.rango_f, _xlpm.filtro*(_xlpm.rango_t&gt;0), _xlpm.v_fecha), _xlpm.c_cants, _xlfn._xlws.FILTER(_xlpm.rango_t, _xlpm.filtro*(_xlpm.rango_t&gt;0), 0), _xlpm.v_acums_pasadas, ABS(SUMIFS(E210:E$1000, D210:D$1000, _xlpm.v_ticker, E210:E$1000,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0" spans="1:16" x14ac:dyDescent="0.45">
      <c r="A210" s="3" t="s">
        <v>26</v>
      </c>
      <c r="B210" s="4">
        <f t="shared" si="3"/>
        <v>45756</v>
      </c>
      <c r="C210" s="3" t="s">
        <v>90</v>
      </c>
      <c r="D210" s="3" t="s">
        <v>136</v>
      </c>
      <c r="E210" s="3">
        <v>9.2811690000000002E-2</v>
      </c>
      <c r="F210" s="3">
        <v>47.838799999999999</v>
      </c>
      <c r="G210" s="3">
        <v>-4.45</v>
      </c>
      <c r="H210" s="5">
        <v>20.7653</v>
      </c>
      <c r="I210" s="8">
        <f>SUMIF(D210:D$1000,D210,E210:E$1000)</f>
        <v>0.58844974999999999</v>
      </c>
      <c r="J210" s="9" cm="1">
        <f t="array" ref="J210">IF(I210&gt;IFERROR(_xlfn.XLOOKUP(D210,D211:D$1000,I211:I$1000,,0,1),0),(IFERROR(_xlfn.XLOOKUP(D210,D211:D$1000,J211:J$1000,,0,1),0)*IFERROR(_xlfn.XLOOKUP(D210,D211:D$1000,I211:I$1000,,0,1),0)-G210*H210)/I210,_xlfn.XLOOKUP(D210,D211:D$1000,J211:J$1000,,0,1))</f>
        <v>1038.8829836362409</v>
      </c>
      <c r="K210" s="10" cm="1">
        <f t="array" ref="K210">IFERROR(IF(I210&lt;_xlfn.XLOOKUP(D210,D211:D$1000,I211:I$1000,,0,1),G210*H210-_xlfn.XLOOKUP(D210,D211:D$1000,J211:J$1000,,0,1)*-E210,0),0)</f>
        <v>0</v>
      </c>
      <c r="L210" s="56">
        <v>139.62</v>
      </c>
      <c r="M210" s="56">
        <v>139.161</v>
      </c>
      <c r="N210" s="59" cm="1">
        <f t="array" ref="N210">IF(I210&gt;_xlfn.XLOOKUP(D210,D211:D$1000,I211:I$1000,0,0,1),(_xlfn.XLOOKUP(D210,D211:D$1000,N211:N$1000,0,0,1)*MAX(1,L210/_xlfn.XLOOKUP(D210,D211:D$1000,L211:L$1000,L210,0,1))*_xlfn.XLOOKUP(D210,D211:D$1000,I211:I$1000,0,0,1)-G210*H210)/I210,_xlfn.XLOOKUP(D210,D211:D$1000,N211:N$1000,,0,1)*MAX(1,L210/_xlfn.XLOOKUP(D210,D211:D$1000,L211:L$1000,,0,1)))</f>
        <v>1038.8829836362409</v>
      </c>
      <c r="O210" s="59" cm="1">
        <f t="array" ref="O210">IFERROR(IF(I210&lt;_xlfn.XLOOKUP(D210,D211:D$1000,I211:I$1000,,0,1),G210*H210-_xlfn.XLOOKUP(D210,D211:D$1000,N211:N$1000,,0,1)*-E210*MAX(1,M210/IFERROR(_xlfn.XLOOKUP(D210,D211:D$1000,L211:L$1000,,0,1),M210)),0),0)</f>
        <v>0</v>
      </c>
      <c r="P210" s="56" t="str" cm="1">
        <f t="array" ref="P210">IF(O210&lt;0,1,IF(E210&lt;0, _xlfn.LET(_xlpm.v_cant, ABS(E210), _xlpm.v_fecha, B210, _xlpm.v_ticker, D210, _xlpm.rango_f, B211:B$1000, _xlpm.rango_t, E211:E$1000, _xlpm.filtro, D211:D$1000=_xlpm.v_ticker, _xlpm.c_fechas, _xlfn._xlws.FILTER(_xlpm.rango_f, _xlpm.filtro*(_xlpm.rango_t&gt;0), _xlpm.v_fecha), _xlpm.c_cants, _xlfn._xlws.FILTER(_xlpm.rango_t, _xlpm.filtro*(_xlpm.rango_t&gt;0), 0), _xlpm.v_acums_pasadas, ABS(SUMIFS(E211:E$1000, D211:D$1000, _xlpm.v_ticker, E211:E$1000,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1" spans="1:16" x14ac:dyDescent="0.45">
      <c r="A211" s="3" t="s">
        <v>26</v>
      </c>
      <c r="B211" s="4">
        <f t="shared" si="3"/>
        <v>45756</v>
      </c>
      <c r="C211" s="3" t="s">
        <v>90</v>
      </c>
      <c r="D211" s="3" t="s">
        <v>137</v>
      </c>
      <c r="E211" s="3">
        <v>1.285121E-2</v>
      </c>
      <c r="F211" s="3">
        <v>518.23879999999997</v>
      </c>
      <c r="G211" s="3">
        <v>-6.67</v>
      </c>
      <c r="H211" s="5">
        <v>20.7653</v>
      </c>
      <c r="I211" s="8">
        <f>SUMIF(D211:D$1000,D211,E211:E$1000)</f>
        <v>9.0665770000000007E-2</v>
      </c>
      <c r="J211" s="9" cm="1">
        <f t="array" ref="J211">IF(I211&gt;IFERROR(_xlfn.XLOOKUP(D211,D212:D$1000,I212:I$1000,,0,1),0),(IFERROR(_xlfn.XLOOKUP(D211,D212:D$1000,J212:J$1000,,0,1),0)*IFERROR(_xlfn.XLOOKUP(D211,D212:D$1000,I212:I$1000,,0,1),0)-G211*H211)/I211,_xlfn.XLOOKUP(D211,D212:D$1000,J212:J$1000,,0,1))</f>
        <v>12542.677473538248</v>
      </c>
      <c r="K211" s="10" cm="1">
        <f t="array" ref="K211">IFERROR(IF(I211&lt;_xlfn.XLOOKUP(D211,D212:D$1000,I212:I$1000,,0,1),G211*H211-_xlfn.XLOOKUP(D211,D212:D$1000,J212:J$1000,,0,1)*-E211,0),0)</f>
        <v>0</v>
      </c>
      <c r="L211" s="56">
        <v>139.62</v>
      </c>
      <c r="M211" s="56">
        <v>139.161</v>
      </c>
      <c r="N211" s="59" cm="1">
        <f t="array" ref="N211">IF(I211&gt;_xlfn.XLOOKUP(D211,D212:D$1000,I212:I$1000,0,0,1),(_xlfn.XLOOKUP(D211,D212:D$1000,N212:N$1000,0,0,1)*MAX(1,L211/_xlfn.XLOOKUP(D211,D212:D$1000,L212:L$1000,L211,0,1))*_xlfn.XLOOKUP(D211,D212:D$1000,I212:I$1000,0,0,1)-G211*H211)/I211,_xlfn.XLOOKUP(D211,D212:D$1000,N212:N$1000,,0,1)*MAX(1,L211/_xlfn.XLOOKUP(D211,D212:D$1000,L212:L$1000,,0,1)))</f>
        <v>12644.353773351291</v>
      </c>
      <c r="O211" s="59" cm="1">
        <f t="array" ref="O211">IFERROR(IF(I211&lt;_xlfn.XLOOKUP(D211,D212:D$1000,I212:I$1000,,0,1),G211*H211-_xlfn.XLOOKUP(D211,D212:D$1000,N212:N$1000,,0,1)*-E211*MAX(1,M211/IFERROR(_xlfn.XLOOKUP(D211,D212:D$1000,L212:L$1000,,0,1),M211)),0),0)</f>
        <v>0</v>
      </c>
      <c r="P211" s="56" t="str" cm="1">
        <f t="array" ref="P211">IF(O211&lt;0,1,IF(E211&lt;0, _xlfn.LET(_xlpm.v_cant, ABS(E211), _xlpm.v_fecha, B211, _xlpm.v_ticker, D211, _xlpm.rango_f, B212:B$1000, _xlpm.rango_t, E212:E$1000, _xlpm.filtro, D212:D$1000=_xlpm.v_ticker, _xlpm.c_fechas, _xlfn._xlws.FILTER(_xlpm.rango_f, _xlpm.filtro*(_xlpm.rango_t&gt;0), _xlpm.v_fecha), _xlpm.c_cants, _xlfn._xlws.FILTER(_xlpm.rango_t, _xlpm.filtro*(_xlpm.rango_t&gt;0), 0), _xlpm.v_acums_pasadas, ABS(SUMIFS(E212:E$1000, D212:D$1000, _xlpm.v_ticker, E212:E$1000,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2" spans="1:16" x14ac:dyDescent="0.45">
      <c r="A212" s="3" t="s">
        <v>26</v>
      </c>
      <c r="B212" s="4">
        <f t="shared" si="3"/>
        <v>45756</v>
      </c>
      <c r="C212" s="3" t="s">
        <v>90</v>
      </c>
      <c r="D212" s="3" t="s">
        <v>115</v>
      </c>
      <c r="E212" s="3">
        <v>1.258778E-2</v>
      </c>
      <c r="F212" s="3">
        <v>529.87879999999996</v>
      </c>
      <c r="G212" s="3">
        <v>-6.68</v>
      </c>
      <c r="H212" s="5">
        <v>20.7653</v>
      </c>
      <c r="I212" s="8">
        <f>SUMIF(D212:D$1000,D212,E212:E$1000)</f>
        <v>0.13617004999999999</v>
      </c>
      <c r="J212" s="9" cm="1">
        <f t="array" ref="J212">IF(I212&gt;IFERROR(_xlfn.XLOOKUP(D212,D213:D$1000,I213:I$1000,,0,1),0),(IFERROR(_xlfn.XLOOKUP(D212,D213:D$1000,J213:J$1000,,0,1),0)*IFERROR(_xlfn.XLOOKUP(D212,D213:D$1000,I213:I$1000,,0,1),0)-G212*H212)/I212,_xlfn.XLOOKUP(D212,D213:D$1000,J213:J$1000,,0,1))</f>
        <v>12000.223294329408</v>
      </c>
      <c r="K212" s="10" cm="1">
        <f t="array" ref="K212">IFERROR(IF(I212&lt;_xlfn.XLOOKUP(D212,D213:D$1000,I213:I$1000,,0,1),G212*H212-_xlfn.XLOOKUP(D212,D213:D$1000,J213:J$1000,,0,1)*-E212,0),0)</f>
        <v>0</v>
      </c>
      <c r="L212" s="56">
        <v>139.62</v>
      </c>
      <c r="M212" s="56">
        <v>139.161</v>
      </c>
      <c r="N212" s="59" cm="1">
        <f t="array" ref="N212">IF(I212&gt;_xlfn.XLOOKUP(D212,D213:D$1000,I213:I$1000,0,0,1),(_xlfn.XLOOKUP(D212,D213:D$1000,N213:N$1000,0,0,1)*MAX(1,L212/_xlfn.XLOOKUP(D212,D213:D$1000,L213:L$1000,L212,0,1))*_xlfn.XLOOKUP(D212,D213:D$1000,I213:I$1000,0,0,1)-G212*H212)/I212,_xlfn.XLOOKUP(D212,D213:D$1000,N213:N$1000,,0,1)*MAX(1,L212/_xlfn.XLOOKUP(D212,D213:D$1000,L213:L$1000,,0,1)))</f>
        <v>12133.244753586463</v>
      </c>
      <c r="O212" s="59" cm="1">
        <f t="array" ref="O212">IFERROR(IF(I212&lt;_xlfn.XLOOKUP(D212,D213:D$1000,I213:I$1000,,0,1),G212*H212-_xlfn.XLOOKUP(D212,D213:D$1000,N213:N$1000,,0,1)*-E212*MAX(1,M212/IFERROR(_xlfn.XLOOKUP(D212,D213:D$1000,L213:L$1000,,0,1),M212)),0),0)</f>
        <v>0</v>
      </c>
      <c r="P212" s="56" t="str" cm="1">
        <f t="array" ref="P212">IF(O212&lt;0,1,IF(E212&lt;0, _xlfn.LET(_xlpm.v_cant, ABS(E212), _xlpm.v_fecha, B212, _xlpm.v_ticker, D212, _xlpm.rango_f, B213:B$1000, _xlpm.rango_t, E213:E$1000, _xlpm.filtro, D213:D$1000=_xlpm.v_ticker, _xlpm.c_fechas, _xlfn._xlws.FILTER(_xlpm.rango_f, _xlpm.filtro*(_xlpm.rango_t&gt;0), _xlpm.v_fecha), _xlpm.c_cants, _xlfn._xlws.FILTER(_xlpm.rango_t, _xlpm.filtro*(_xlpm.rango_t&gt;0), 0), _xlpm.v_acums_pasadas, ABS(SUMIFS(E213:E$1000, D213:D$1000, _xlpm.v_ticker, E213:E$1000,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3" spans="1:16" x14ac:dyDescent="0.45">
      <c r="A213" s="3" t="s">
        <v>26</v>
      </c>
      <c r="B213" s="4">
        <f t="shared" si="3"/>
        <v>45756</v>
      </c>
      <c r="C213" s="3" t="s">
        <v>90</v>
      </c>
      <c r="D213" s="3" t="s">
        <v>136</v>
      </c>
      <c r="E213" s="3">
        <v>0.49563805999999999</v>
      </c>
      <c r="F213" s="3">
        <v>50.2988</v>
      </c>
      <c r="G213" s="3">
        <v>-24.99</v>
      </c>
      <c r="H213" s="5">
        <v>20.7653</v>
      </c>
      <c r="I213" s="8">
        <f>SUMIF(D213:D$1000,D213,E213:E$1000)</f>
        <v>0.49563805999999999</v>
      </c>
      <c r="J213" s="9" cm="1">
        <f t="array" ref="J213">IF(I213&gt;IFERROR(_xlfn.XLOOKUP(D213,D214:D$1000,I214:I$1000,,0,1),0),(IFERROR(_xlfn.XLOOKUP(D213,D214:D$1000,J214:J$1000,,0,1),0)*IFERROR(_xlfn.XLOOKUP(D213,D214:D$1000,I214:I$1000,,0,1),0)-G213*H213)/I213,_xlfn.XLOOKUP(D213,D214:D$1000,J214:J$1000,,0,1))</f>
        <v>1046.9834519972094</v>
      </c>
      <c r="K213" s="10" cm="1">
        <f t="array" ref="K213">IFERROR(IF(I213&lt;_xlfn.XLOOKUP(D213,D214:D$1000,I214:I$1000,,0,1),G213*H213-_xlfn.XLOOKUP(D213,D214:D$1000,J214:J$1000,,0,1)*-E213,0),0)</f>
        <v>0</v>
      </c>
      <c r="L213" s="56">
        <v>139.62</v>
      </c>
      <c r="M213" s="56">
        <v>139.161</v>
      </c>
      <c r="N213" s="59" cm="1">
        <f t="array" ref="N213">IF(I213&gt;_xlfn.XLOOKUP(D213,D214:D$1000,I214:I$1000,0,0,1),(_xlfn.XLOOKUP(D213,D214:D$1000,N214:N$1000,0,0,1)*MAX(1,L213/_xlfn.XLOOKUP(D213,D214:D$1000,L214:L$1000,L213,0,1))*_xlfn.XLOOKUP(D213,D214:D$1000,I214:I$1000,0,0,1)-G213*H213)/I213,_xlfn.XLOOKUP(D213,D214:D$1000,N214:N$1000,,0,1)*MAX(1,L213/_xlfn.XLOOKUP(D213,D214:D$1000,L214:L$1000,,0,1)))</f>
        <v>1046.9834519972094</v>
      </c>
      <c r="O213" s="59" cm="1">
        <f t="array" ref="O213">IFERROR(IF(I213&lt;_xlfn.XLOOKUP(D213,D214:D$1000,I214:I$1000,,0,1),G213*H213-_xlfn.XLOOKUP(D213,D214:D$1000,N214:N$1000,,0,1)*-E213*MAX(1,M213/IFERROR(_xlfn.XLOOKUP(D213,D214:D$1000,L214:L$1000,,0,1),M213)),0),0)</f>
        <v>0</v>
      </c>
      <c r="P213" s="56" t="str" cm="1">
        <f t="array" ref="P213">IF(O213&lt;0,1,IF(E213&lt;0, _xlfn.LET(_xlpm.v_cant, ABS(E213), _xlpm.v_fecha, B213, _xlpm.v_ticker, D213, _xlpm.rango_f, B214:B$1000, _xlpm.rango_t, E214:E$1000, _xlpm.filtro, D214:D$1000=_xlpm.v_ticker, _xlpm.c_fechas, _xlfn._xlws.FILTER(_xlpm.rango_f, _xlpm.filtro*(_xlpm.rango_t&gt;0), _xlpm.v_fecha), _xlpm.c_cants, _xlfn._xlws.FILTER(_xlpm.rango_t, _xlpm.filtro*(_xlpm.rango_t&gt;0), 0), _xlpm.v_acums_pasadas, ABS(SUMIFS(E214:E$1000, D214:D$1000, _xlpm.v_ticker, E214:E$1000,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4" spans="1:16" x14ac:dyDescent="0.45">
      <c r="A214" s="3" t="s">
        <v>26</v>
      </c>
      <c r="B214" s="4">
        <f t="shared" si="3"/>
        <v>45756</v>
      </c>
      <c r="C214" s="3" t="s">
        <v>90</v>
      </c>
      <c r="D214" s="3" t="s">
        <v>138</v>
      </c>
      <c r="E214" s="3">
        <v>0.30292057</v>
      </c>
      <c r="F214" s="3">
        <v>82.2988</v>
      </c>
      <c r="G214" s="3">
        <v>-24.99</v>
      </c>
      <c r="H214" s="5">
        <v>20.7653</v>
      </c>
      <c r="I214" s="8">
        <f>SUMIF(D214:D$1000,D214,E214:E$1000)</f>
        <v>0.30292057</v>
      </c>
      <c r="J214" s="9" cm="1">
        <f t="array" ref="J214">IF(I214&gt;IFERROR(_xlfn.XLOOKUP(D214,D215:D$1000,I215:I$1000,,0,1),0),(IFERROR(_xlfn.XLOOKUP(D214,D215:D$1000,J215:J$1000,,0,1),0)*IFERROR(_xlfn.XLOOKUP(D214,D215:D$1000,I215:I$1000,,0,1),0)-G214*H214)/I214,_xlfn.XLOOKUP(D214,D215:D$1000,J215:J$1000,,0,1))</f>
        <v>1713.07233113948</v>
      </c>
      <c r="K214" s="10" cm="1">
        <f t="array" ref="K214">IFERROR(IF(I214&lt;_xlfn.XLOOKUP(D214,D215:D$1000,I215:I$1000,,0,1),G214*H214-_xlfn.XLOOKUP(D214,D215:D$1000,J215:J$1000,,0,1)*-E214,0),0)</f>
        <v>0</v>
      </c>
      <c r="L214" s="56">
        <v>139.62</v>
      </c>
      <c r="M214" s="56">
        <v>139.161</v>
      </c>
      <c r="N214" s="59" cm="1">
        <f t="array" ref="N214">IF(I214&gt;_xlfn.XLOOKUP(D214,D215:D$1000,I215:I$1000,0,0,1),(_xlfn.XLOOKUP(D214,D215:D$1000,N215:N$1000,0,0,1)*MAX(1,L214/_xlfn.XLOOKUP(D214,D215:D$1000,L215:L$1000,L214,0,1))*_xlfn.XLOOKUP(D214,D215:D$1000,I215:I$1000,0,0,1)-G214*H214)/I214,_xlfn.XLOOKUP(D214,D215:D$1000,N215:N$1000,,0,1)*MAX(1,L214/_xlfn.XLOOKUP(D214,D215:D$1000,L215:L$1000,,0,1)))</f>
        <v>1713.07233113948</v>
      </c>
      <c r="O214" s="59" cm="1">
        <f t="array" ref="O214">IFERROR(IF(I214&lt;_xlfn.XLOOKUP(D214,D215:D$1000,I215:I$1000,,0,1),G214*H214-_xlfn.XLOOKUP(D214,D215:D$1000,N215:N$1000,,0,1)*-E214*MAX(1,M214/IFERROR(_xlfn.XLOOKUP(D214,D215:D$1000,L215:L$1000,,0,1),M214)),0),0)</f>
        <v>0</v>
      </c>
      <c r="P214" s="56" t="str" cm="1">
        <f t="array" ref="P214">IF(O214&lt;0,1,IF(E214&lt;0, _xlfn.LET(_xlpm.v_cant, ABS(E214), _xlpm.v_fecha, B214, _xlpm.v_ticker, D214, _xlpm.rango_f, B215:B$1000, _xlpm.rango_t, E215:E$1000, _xlpm.filtro, D215:D$1000=_xlpm.v_ticker, _xlpm.c_fechas, _xlfn._xlws.FILTER(_xlpm.rango_f, _xlpm.filtro*(_xlpm.rango_t&gt;0), _xlpm.v_fecha), _xlpm.c_cants, _xlfn._xlws.FILTER(_xlpm.rango_t, _xlpm.filtro*(_xlpm.rango_t&gt;0), 0), _xlpm.v_acums_pasadas, ABS(SUMIFS(E215:E$1000, D215:D$1000, _xlpm.v_ticker, E215:E$1000,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5" spans="1:16" x14ac:dyDescent="0.45">
      <c r="A215" s="3" t="s">
        <v>26</v>
      </c>
      <c r="B215" s="4">
        <f t="shared" si="3"/>
        <v>45756</v>
      </c>
      <c r="C215" s="3" t="s">
        <v>90</v>
      </c>
      <c r="D215" s="3" t="s">
        <v>139</v>
      </c>
      <c r="E215" s="3">
        <v>0.21346224</v>
      </c>
      <c r="F215" s="3">
        <v>116.78879999999999</v>
      </c>
      <c r="G215" s="3">
        <v>-24.99</v>
      </c>
      <c r="H215" s="5">
        <v>20.7653</v>
      </c>
      <c r="I215" s="8">
        <f>SUMIF(D215:D$1000,D215,E215:E$1000)</f>
        <v>0.21346224</v>
      </c>
      <c r="J215" s="9" cm="1">
        <f t="array" ref="J215">IF(I215&gt;IFERROR(_xlfn.XLOOKUP(D215,D216:D$1000,I216:I$1000,,0,1),0),(IFERROR(_xlfn.XLOOKUP(D215,D216:D$1000,J216:J$1000,,0,1),0)*IFERROR(_xlfn.XLOOKUP(D215,D216:D$1000,I216:I$1000,,0,1),0)-G215*H215)/I215,_xlfn.XLOOKUP(D215,D216:D$1000,J216:J$1000,,0,1))</f>
        <v>2430.9912938232073</v>
      </c>
      <c r="K215" s="10" cm="1">
        <f t="array" ref="K215">IFERROR(IF(I215&lt;_xlfn.XLOOKUP(D215,D216:D$1000,I216:I$1000,,0,1),G215*H215-_xlfn.XLOOKUP(D215,D216:D$1000,J216:J$1000,,0,1)*-E215,0),0)</f>
        <v>0</v>
      </c>
      <c r="L215" s="56">
        <v>139.62</v>
      </c>
      <c r="M215" s="56">
        <v>139.161</v>
      </c>
      <c r="N215" s="59" cm="1">
        <f t="array" ref="N215">IF(I215&gt;_xlfn.XLOOKUP(D215,D216:D$1000,I216:I$1000,0,0,1),(_xlfn.XLOOKUP(D215,D216:D$1000,N216:N$1000,0,0,1)*MAX(1,L215/_xlfn.XLOOKUP(D215,D216:D$1000,L216:L$1000,L215,0,1))*_xlfn.XLOOKUP(D215,D216:D$1000,I216:I$1000,0,0,1)-G215*H215)/I215,_xlfn.XLOOKUP(D215,D216:D$1000,N216:N$1000,,0,1)*MAX(1,L215/_xlfn.XLOOKUP(D215,D216:D$1000,L216:L$1000,,0,1)))</f>
        <v>2430.9912938232073</v>
      </c>
      <c r="O215" s="59" cm="1">
        <f t="array" ref="O215">IFERROR(IF(I215&lt;_xlfn.XLOOKUP(D215,D216:D$1000,I216:I$1000,,0,1),G215*H215-_xlfn.XLOOKUP(D215,D216:D$1000,N216:N$1000,,0,1)*-E215*MAX(1,M215/IFERROR(_xlfn.XLOOKUP(D215,D216:D$1000,L216:L$1000,,0,1),M215)),0),0)</f>
        <v>0</v>
      </c>
      <c r="P215" s="56" t="str" cm="1">
        <f t="array" ref="P215">IF(O215&lt;0,1,IF(E215&lt;0, _xlfn.LET(_xlpm.v_cant, ABS(E215), _xlpm.v_fecha, B215, _xlpm.v_ticker, D215, _xlpm.rango_f, B216:B$1000, _xlpm.rango_t, E216:E$1000, _xlpm.filtro, D216:D$1000=_xlpm.v_ticker, _xlpm.c_fechas, _xlfn._xlws.FILTER(_xlpm.rango_f, _xlpm.filtro*(_xlpm.rango_t&gt;0), _xlpm.v_fecha), _xlpm.c_cants, _xlfn._xlws.FILTER(_xlpm.rango_t, _xlpm.filtro*(_xlpm.rango_t&gt;0), 0), _xlpm.v_acums_pasadas, ABS(SUMIFS(E216:E$1000, D216:D$1000, _xlpm.v_ticker, E216:E$1000,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6" spans="1:16" x14ac:dyDescent="0.45">
      <c r="A216" s="3" t="s">
        <v>26</v>
      </c>
      <c r="B216" s="4">
        <f t="shared" si="3"/>
        <v>45756</v>
      </c>
      <c r="C216" s="3" t="s">
        <v>90</v>
      </c>
      <c r="D216" s="3" t="s">
        <v>140</v>
      </c>
      <c r="E216" s="3">
        <v>0.18651612000000001</v>
      </c>
      <c r="F216" s="3">
        <v>187.1688</v>
      </c>
      <c r="G216" s="3">
        <v>-34.99</v>
      </c>
      <c r="H216" s="5">
        <v>20.7653</v>
      </c>
      <c r="I216" s="8">
        <f>SUMIF(D216:D$1000,D216,E216:E$1000)</f>
        <v>0.18651612000000001</v>
      </c>
      <c r="J216" s="9" cm="1">
        <f t="array" ref="J216">IF(I216&gt;IFERROR(_xlfn.XLOOKUP(D216,D217:D$1000,I217:I$1000,,0,1),0),(IFERROR(_xlfn.XLOOKUP(D216,D217:D$1000,J217:J$1000,,0,1),0)*IFERROR(_xlfn.XLOOKUP(D216,D217:D$1000,I217:I$1000,,0,1),0)-G216*H216)/I216,_xlfn.XLOOKUP(D216,D217:D$1000,J217:J$1000,,0,1))</f>
        <v>3895.5230625642439</v>
      </c>
      <c r="K216" s="10" cm="1">
        <f t="array" ref="K216">IFERROR(IF(I216&lt;_xlfn.XLOOKUP(D216,D217:D$1000,I217:I$1000,,0,1),G216*H216-_xlfn.XLOOKUP(D216,D217:D$1000,J217:J$1000,,0,1)*-E216,0),0)</f>
        <v>0</v>
      </c>
      <c r="L216" s="56">
        <v>139.62</v>
      </c>
      <c r="M216" s="56">
        <v>139.161</v>
      </c>
      <c r="N216" s="59" cm="1">
        <f t="array" ref="N216">IF(I216&gt;_xlfn.XLOOKUP(D216,D217:D$1000,I217:I$1000,0,0,1),(_xlfn.XLOOKUP(D216,D217:D$1000,N217:N$1000,0,0,1)*MAX(1,L216/_xlfn.XLOOKUP(D216,D217:D$1000,L217:L$1000,L216,0,1))*_xlfn.XLOOKUP(D216,D217:D$1000,I217:I$1000,0,0,1)-G216*H216)/I216,_xlfn.XLOOKUP(D216,D217:D$1000,N217:N$1000,,0,1)*MAX(1,L216/_xlfn.XLOOKUP(D216,D217:D$1000,L217:L$1000,,0,1)))</f>
        <v>3895.5230625642439</v>
      </c>
      <c r="O216" s="59" cm="1">
        <f t="array" ref="O216">IFERROR(IF(I216&lt;_xlfn.XLOOKUP(D216,D217:D$1000,I217:I$1000,,0,1),G216*H216-_xlfn.XLOOKUP(D216,D217:D$1000,N217:N$1000,,0,1)*-E216*MAX(1,M216/IFERROR(_xlfn.XLOOKUP(D216,D217:D$1000,L217:L$1000,,0,1),M216)),0),0)</f>
        <v>0</v>
      </c>
      <c r="P216" s="56" t="str" cm="1">
        <f t="array" ref="P216">IF(O216&lt;0,1,IF(E216&lt;0, _xlfn.LET(_xlpm.v_cant, ABS(E216), _xlpm.v_fecha, B216, _xlpm.v_ticker, D216, _xlpm.rango_f, B217:B$1000, _xlpm.rango_t, E217:E$1000, _xlpm.filtro, D217:D$1000=_xlpm.v_ticker, _xlpm.c_fechas, _xlfn._xlws.FILTER(_xlpm.rango_f, _xlpm.filtro*(_xlpm.rango_t&gt;0), _xlpm.v_fecha), _xlpm.c_cants, _xlfn._xlws.FILTER(_xlpm.rango_t, _xlpm.filtro*(_xlpm.rango_t&gt;0), 0), _xlpm.v_acums_pasadas, ABS(SUMIFS(E217:E$1000, D217:D$1000, _xlpm.v_ticker, E217:E$1000,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7" spans="1:16" x14ac:dyDescent="0.45">
      <c r="A217" s="3" t="s">
        <v>26</v>
      </c>
      <c r="B217" s="4">
        <f t="shared" si="3"/>
        <v>45756</v>
      </c>
      <c r="C217" s="3" t="s">
        <v>90</v>
      </c>
      <c r="D217" s="3" t="s">
        <v>96</v>
      </c>
      <c r="E217" s="3">
        <v>1</v>
      </c>
      <c r="F217" s="3">
        <v>14.4488</v>
      </c>
      <c r="G217" s="3">
        <v>-14.45</v>
      </c>
      <c r="H217" s="5">
        <v>20.7653</v>
      </c>
      <c r="I217" s="8">
        <f>SUMIF(D217:D$1000,D217,E217:E$1000)</f>
        <v>7.5660541800000001</v>
      </c>
      <c r="J217" s="9" cm="1">
        <f t="array" ref="J217">IF(I217&gt;IFERROR(_xlfn.XLOOKUP(D217,D218:D$1000,I218:I$1000,,0,1),0),(IFERROR(_xlfn.XLOOKUP(D217,D218:D$1000,J218:J$1000,,0,1),0)*IFERROR(_xlfn.XLOOKUP(D217,D218:D$1000,I218:I$1000,,0,1),0)-G217*H217)/I217,_xlfn.XLOOKUP(D217,D218:D$1000,J218:J$1000,,0,1))</f>
        <v>371.04558719932396</v>
      </c>
      <c r="K217" s="10" cm="1">
        <f t="array" ref="K217">IFERROR(IF(I217&lt;_xlfn.XLOOKUP(D217,D218:D$1000,I218:I$1000,,0,1),G217*H217-_xlfn.XLOOKUP(D217,D218:D$1000,J218:J$1000,,0,1)*-E217,0),0)</f>
        <v>0</v>
      </c>
      <c r="L217" s="56">
        <v>139.62</v>
      </c>
      <c r="M217" s="56">
        <v>139.161</v>
      </c>
      <c r="N217" s="59" cm="1">
        <f t="array" ref="N217">IF(I217&gt;_xlfn.XLOOKUP(D217,D218:D$1000,I218:I$1000,0,0,1),(_xlfn.XLOOKUP(D217,D218:D$1000,N218:N$1000,0,0,1)*MAX(1,L217/_xlfn.XLOOKUP(D217,D218:D$1000,L218:L$1000,L217,0,1))*_xlfn.XLOOKUP(D217,D218:D$1000,I218:I$1000,0,0,1)-G217*H217)/I217,_xlfn.XLOOKUP(D217,D218:D$1000,N218:N$1000,,0,1)*MAX(1,L217/_xlfn.XLOOKUP(D217,D218:D$1000,L218:L$1000,,0,1)))</f>
        <v>375.81258104702073</v>
      </c>
      <c r="O217" s="59" cm="1">
        <f t="array" ref="O217">IFERROR(IF(I217&lt;_xlfn.XLOOKUP(D217,D218:D$1000,I218:I$1000,,0,1),G217*H217-_xlfn.XLOOKUP(D217,D218:D$1000,N218:N$1000,,0,1)*-E217*MAX(1,M217/IFERROR(_xlfn.XLOOKUP(D217,D218:D$1000,L218:L$1000,,0,1),M217)),0),0)</f>
        <v>0</v>
      </c>
      <c r="P217" s="56" t="str" cm="1">
        <f t="array" ref="P217">IF(O217&lt;0,1,IF(E217&lt;0, _xlfn.LET(_xlpm.v_cant, ABS(E217), _xlpm.v_fecha, B217, _xlpm.v_ticker, D217, _xlpm.rango_f, B218:B$1000, _xlpm.rango_t, E218:E$1000, _xlpm.filtro, D218:D$1000=_xlpm.v_ticker, _xlpm.c_fechas, _xlfn._xlws.FILTER(_xlpm.rango_f, _xlpm.filtro*(_xlpm.rango_t&gt;0), _xlpm.v_fecha), _xlpm.c_cants, _xlfn._xlws.FILTER(_xlpm.rango_t, _xlpm.filtro*(_xlpm.rango_t&gt;0), 0), _xlpm.v_acums_pasadas, ABS(SUMIFS(E218:E$1000, D218:D$1000, _xlpm.v_ticker, E218:E$1000,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8" spans="1:16" x14ac:dyDescent="0.45">
      <c r="A218" s="3" t="s">
        <v>26</v>
      </c>
      <c r="B218" s="4">
        <f t="shared" si="3"/>
        <v>45756</v>
      </c>
      <c r="C218" s="3" t="s">
        <v>90</v>
      </c>
      <c r="D218" s="3" t="s">
        <v>96</v>
      </c>
      <c r="E218" s="3">
        <v>0.38073750000000001</v>
      </c>
      <c r="F218" s="3">
        <v>14.4488</v>
      </c>
      <c r="G218" s="3">
        <v>-5.54</v>
      </c>
      <c r="H218" s="5">
        <v>20.7653</v>
      </c>
      <c r="I218" s="8">
        <f>SUMIF(D218:D$1000,D218,E218:E$1000)</f>
        <v>6.5660541800000001</v>
      </c>
      <c r="J218" s="9" cm="1">
        <f t="array" ref="J218">IF(I218&gt;IFERROR(_xlfn.XLOOKUP(D218,D219:D$1000,I219:I$1000,,0,1),0),(IFERROR(_xlfn.XLOOKUP(D218,D219:D$1000,J219:J$1000,,0,1),0)*IFERROR(_xlfn.XLOOKUP(D218,D219:D$1000,I219:I$1000,,0,1),0)-G218*H218)/I218,_xlfn.XLOOKUP(D218,D219:D$1000,J219:J$1000,,0,1))</f>
        <v>381.85679896415343</v>
      </c>
      <c r="K218" s="10" cm="1">
        <f t="array" ref="K218">IFERROR(IF(I218&lt;_xlfn.XLOOKUP(D218,D219:D$1000,I219:I$1000,,0,1),G218*H218-_xlfn.XLOOKUP(D218,D219:D$1000,J219:J$1000,,0,1)*-E218,0),0)</f>
        <v>0</v>
      </c>
      <c r="L218" s="56">
        <v>139.62</v>
      </c>
      <c r="M218" s="56">
        <v>139.161</v>
      </c>
      <c r="N218" s="59" cm="1">
        <f t="array" ref="N218">IF(I218&gt;_xlfn.XLOOKUP(D218,D219:D$1000,I219:I$1000,0,0,1),(_xlfn.XLOOKUP(D218,D219:D$1000,N219:N$1000,0,0,1)*MAX(1,L218/_xlfn.XLOOKUP(D218,D219:D$1000,L219:L$1000,L218,0,1))*_xlfn.XLOOKUP(D218,D219:D$1000,I219:I$1000,0,0,1)-G218*H218)/I218,_xlfn.XLOOKUP(D218,D219:D$1000,N219:N$1000,,0,1)*MAX(1,L218/_xlfn.XLOOKUP(D218,D219:D$1000,L219:L$1000,,0,1)))</f>
        <v>387.34979867732369</v>
      </c>
      <c r="O218" s="59" cm="1">
        <f t="array" ref="O218">IFERROR(IF(I218&lt;_xlfn.XLOOKUP(D218,D219:D$1000,I219:I$1000,,0,1),G218*H218-_xlfn.XLOOKUP(D218,D219:D$1000,N219:N$1000,,0,1)*-E218*MAX(1,M218/IFERROR(_xlfn.XLOOKUP(D218,D219:D$1000,L219:L$1000,,0,1),M218)),0),0)</f>
        <v>0</v>
      </c>
      <c r="P218" s="56" t="str" cm="1">
        <f t="array" ref="P218">IF(O218&lt;0,1,IF(E218&lt;0, _xlfn.LET(_xlpm.v_cant, ABS(E218), _xlpm.v_fecha, B218, _xlpm.v_ticker, D218, _xlpm.rango_f, B219:B$1000, _xlpm.rango_t, E219:E$1000, _xlpm.filtro, D219:D$1000=_xlpm.v_ticker, _xlpm.c_fechas, _xlfn._xlws.FILTER(_xlpm.rango_f, _xlpm.filtro*(_xlpm.rango_t&gt;0), _xlpm.v_fecha), _xlpm.c_cants, _xlfn._xlws.FILTER(_xlpm.rango_t, _xlpm.filtro*(_xlpm.rango_t&gt;0), 0), _xlpm.v_acums_pasadas, ABS(SUMIFS(E219:E$1000, D219:D$1000, _xlpm.v_ticker, E219:E$1000,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19" spans="1:16" x14ac:dyDescent="0.45">
      <c r="A219" s="3" t="s">
        <v>26</v>
      </c>
      <c r="B219" s="4">
        <f t="shared" si="3"/>
        <v>45756</v>
      </c>
      <c r="C219" s="3" t="s">
        <v>90</v>
      </c>
      <c r="D219" s="3" t="s">
        <v>112</v>
      </c>
      <c r="E219" s="3">
        <v>0.15733294</v>
      </c>
      <c r="F219" s="3">
        <v>63.3688</v>
      </c>
      <c r="G219" s="3">
        <v>-9.99</v>
      </c>
      <c r="H219" s="5">
        <v>20.7653</v>
      </c>
      <c r="I219" s="8">
        <f>SUMIF(D219:D$1000,D219,E219:E$1000)</f>
        <v>0.76957653999999998</v>
      </c>
      <c r="J219" s="9" cm="1">
        <f t="array" ref="J219">IF(I219&gt;IFERROR(_xlfn.XLOOKUP(D219,D220:D$1000,I220:I$1000,,0,1),0),(IFERROR(_xlfn.XLOOKUP(D219,D220:D$1000,J220:J$1000,,0,1),0)*IFERROR(_xlfn.XLOOKUP(D219,D220:D$1000,I220:I$1000,,0,1),0)-G219*H219)/I219,_xlfn.XLOOKUP(D219,D220:D$1000,J220:J$1000,,0,1))</f>
        <v>1242.2645975849452</v>
      </c>
      <c r="K219" s="10" cm="1">
        <f t="array" ref="K219">IFERROR(IF(I219&lt;_xlfn.XLOOKUP(D219,D220:D$1000,I220:I$1000,,0,1),G219*H219-_xlfn.XLOOKUP(D219,D220:D$1000,J220:J$1000,,0,1)*-E219,0),0)</f>
        <v>0</v>
      </c>
      <c r="L219" s="56">
        <v>139.62</v>
      </c>
      <c r="M219" s="56">
        <v>139.161</v>
      </c>
      <c r="N219" s="59" cm="1">
        <f t="array" ref="N219">IF(I219&gt;_xlfn.XLOOKUP(D219,D220:D$1000,I220:I$1000,0,0,1),(_xlfn.XLOOKUP(D219,D220:D$1000,N220:N$1000,0,0,1)*MAX(1,L219/_xlfn.XLOOKUP(D219,D220:D$1000,L220:L$1000,L219,0,1))*_xlfn.XLOOKUP(D219,D220:D$1000,I220:I$1000,0,0,1)-G219*H219)/I219,_xlfn.XLOOKUP(D219,D220:D$1000,N220:N$1000,,0,1)*MAX(1,L219/_xlfn.XLOOKUP(D219,D220:D$1000,L220:L$1000,,0,1)))</f>
        <v>1254.0471627716272</v>
      </c>
      <c r="O219" s="59" cm="1">
        <f t="array" ref="O219">IFERROR(IF(I219&lt;_xlfn.XLOOKUP(D219,D220:D$1000,I220:I$1000,,0,1),G219*H219-_xlfn.XLOOKUP(D219,D220:D$1000,N220:N$1000,,0,1)*-E219*MAX(1,M219/IFERROR(_xlfn.XLOOKUP(D219,D220:D$1000,L220:L$1000,,0,1),M219)),0),0)</f>
        <v>0</v>
      </c>
      <c r="P219" s="56" t="str" cm="1">
        <f t="array" ref="P219">IF(O219&lt;0,1,IF(E219&lt;0, _xlfn.LET(_xlpm.v_cant, ABS(E219), _xlpm.v_fecha, B219, _xlpm.v_ticker, D219, _xlpm.rango_f, B220:B$1000, _xlpm.rango_t, E220:E$1000, _xlpm.filtro, D220:D$1000=_xlpm.v_ticker, _xlpm.c_fechas, _xlfn._xlws.FILTER(_xlpm.rango_f, _xlpm.filtro*(_xlpm.rango_t&gt;0), _xlpm.v_fecha), _xlpm.c_cants, _xlfn._xlws.FILTER(_xlpm.rango_t, _xlpm.filtro*(_xlpm.rango_t&gt;0), 0), _xlpm.v_acums_pasadas, ABS(SUMIFS(E220:E$1000, D220:D$1000, _xlpm.v_ticker, E220:E$1000,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20" spans="1:16" x14ac:dyDescent="0.45">
      <c r="A220" s="3" t="s">
        <v>25</v>
      </c>
      <c r="B220" s="4">
        <f t="shared" si="3"/>
        <v>45755</v>
      </c>
      <c r="C220" s="3" t="s">
        <v>91</v>
      </c>
      <c r="D220" s="3" t="s">
        <v>125</v>
      </c>
      <c r="E220" s="3">
        <v>-2</v>
      </c>
      <c r="F220" s="3">
        <v>16.703600000000002</v>
      </c>
      <c r="G220" s="3">
        <v>33.409999999999997</v>
      </c>
      <c r="H220" s="5">
        <v>20.686699999999998</v>
      </c>
      <c r="I220" s="8">
        <f>SUMIF(D220:D$1000,D220,E220:E$1000)</f>
        <v>2.0573158200000004</v>
      </c>
      <c r="J220" s="9" cm="1">
        <f t="array" ref="J220">IF(I220&gt;IFERROR(_xlfn.XLOOKUP(D220,D221:D$1000,I221:I$1000,,0,1),0),(IFERROR(_xlfn.XLOOKUP(D220,D221:D$1000,J221:J$1000,,0,1),0)*IFERROR(_xlfn.XLOOKUP(D220,D221:D$1000,I221:I$1000,,0,1),0)-G220*H220)/I220,_xlfn.XLOOKUP(D220,D221:D$1000,J221:J$1000,,0,1))</f>
        <v>229.57540519037119</v>
      </c>
      <c r="K220" s="10" cm="1">
        <f t="array" ref="K220">IFERROR(IF(I220&lt;_xlfn.XLOOKUP(D220,D221:D$1000,I221:I$1000,,0,1),G220*H220-_xlfn.XLOOKUP(D220,D221:D$1000,J221:J$1000,,0,1)*-E220,0),0)</f>
        <v>231.99183661925753</v>
      </c>
      <c r="L220" s="56">
        <v>139.62</v>
      </c>
      <c r="M220" s="56">
        <v>139.161</v>
      </c>
      <c r="N220" s="59" cm="1">
        <f t="array" ref="N220">IF(I220&gt;_xlfn.XLOOKUP(D220,D221:D$1000,I221:I$1000,0,0,1),(_xlfn.XLOOKUP(D220,D221:D$1000,N221:N$1000,0,0,1)*MAX(1,L220/_xlfn.XLOOKUP(D220,D221:D$1000,L221:L$1000,L220,0,1))*_xlfn.XLOOKUP(D220,D221:D$1000,I221:I$1000,0,0,1)-G220*H220)/I220,_xlfn.XLOOKUP(D220,D221:D$1000,N221:N$1000,,0,1)*MAX(1,L220/_xlfn.XLOOKUP(D220,D221:D$1000,L221:L$1000,,0,1)))</f>
        <v>237.09817707922747</v>
      </c>
      <c r="O220" s="59" cm="1">
        <f t="array" ref="O220">IFERROR(IF(I220&lt;_xlfn.XLOOKUP(D220,D221:D$1000,I221:I$1000,,0,1),G220*H220-_xlfn.XLOOKUP(D220,D221:D$1000,N221:N$1000,,0,1)*-E220*MAX(1,M220/IFERROR(_xlfn.XLOOKUP(D220,D221:D$1000,L221:L$1000,,0,1),M220)),0),0)</f>
        <v>216.94629284154496</v>
      </c>
      <c r="P220" s="56" cm="1">
        <f t="array" ref="P220">IF(O220&lt;0,1,IF(E220&lt;0, _xlfn.LET(_xlpm.v_cant, ABS(E220), _xlpm.v_fecha, B220, _xlpm.v_ticker, D220, _xlpm.rango_f, B221:B$1000, _xlpm.rango_t, E221:E$1000, _xlpm.filtro, D221:D$1000=_xlpm.v_ticker, _xlpm.c_fechas, _xlfn._xlws.FILTER(_xlpm.rango_f, _xlpm.filtro*(_xlpm.rango_t&gt;0), _xlpm.v_fecha), _xlpm.c_cants, _xlfn._xlws.FILTER(_xlpm.rango_t, _xlpm.filtro*(_xlpm.rango_t&gt;0), 0), _xlpm.v_acums_pasadas, ABS(SUMIFS(E221:E$1000, D221:D$1000, _xlpm.v_ticker, E221:E$1000,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21" spans="1:16" x14ac:dyDescent="0.45">
      <c r="A221" s="3" t="s">
        <v>25</v>
      </c>
      <c r="B221" s="4">
        <f t="shared" si="3"/>
        <v>45755</v>
      </c>
      <c r="C221" s="3" t="s">
        <v>91</v>
      </c>
      <c r="D221" s="3" t="s">
        <v>125</v>
      </c>
      <c r="E221" s="3">
        <v>-6.0913710000000003E-2</v>
      </c>
      <c r="F221" s="3">
        <v>16.703600000000002</v>
      </c>
      <c r="G221" s="3">
        <v>0.94</v>
      </c>
      <c r="H221" s="5">
        <v>20.686699999999998</v>
      </c>
      <c r="I221" s="8">
        <f>SUMIF(D221:D$1000,D221,E221:E$1000)</f>
        <v>4.0573158199999995</v>
      </c>
      <c r="J221" s="9" cm="1">
        <f t="array" ref="J221">IF(I221&gt;IFERROR(_xlfn.XLOOKUP(D221,D222:D$1000,I222:I$1000,,0,1),0),(IFERROR(_xlfn.XLOOKUP(D221,D222:D$1000,J222:J$1000,,0,1),0)*IFERROR(_xlfn.XLOOKUP(D221,D222:D$1000,I222:I$1000,,0,1),0)-G221*H221)/I221,_xlfn.XLOOKUP(D221,D222:D$1000,J222:J$1000,,0,1))</f>
        <v>229.57540519037119</v>
      </c>
      <c r="K221" s="10" cm="1">
        <f t="array" ref="K221">IFERROR(IF(I221&lt;_xlfn.XLOOKUP(D221,D222:D$1000,I222:I$1000,,0,1),G221*H221-_xlfn.XLOOKUP(D221,D222:D$1000,J222:J$1000,,0,1)*-E221,0),0)</f>
        <v>5.4612083451012321</v>
      </c>
      <c r="L221" s="56">
        <v>139.62</v>
      </c>
      <c r="M221" s="56">
        <v>139.161</v>
      </c>
      <c r="N221" s="59" cm="1">
        <f t="array" ref="N221">IF(I221&gt;_xlfn.XLOOKUP(D221,D222:D$1000,I222:I$1000,0,0,1),(_xlfn.XLOOKUP(D221,D222:D$1000,N222:N$1000,0,0,1)*MAX(1,L221/_xlfn.XLOOKUP(D221,D222:D$1000,L222:L$1000,L221,0,1))*_xlfn.XLOOKUP(D221,D222:D$1000,I222:I$1000,0,0,1)-G221*H221)/I221,_xlfn.XLOOKUP(D221,D222:D$1000,N222:N$1000,,0,1)*MAX(1,L221/_xlfn.XLOOKUP(D221,D222:D$1000,L222:L$1000,,0,1)))</f>
        <v>237.09817707922747</v>
      </c>
      <c r="O221" s="59" cm="1">
        <f t="array" ref="O221">IFERROR(IF(I221&lt;_xlfn.XLOOKUP(D221,D222:D$1000,I222:I$1000,,0,1),G221*H221-_xlfn.XLOOKUP(D221,D222:D$1000,N222:N$1000,,0,1)*-E221*MAX(1,M221/IFERROR(_xlfn.XLOOKUP(D221,D222:D$1000,L222:L$1000,,0,1),M221)),0),0)</f>
        <v>5.0504481383464501</v>
      </c>
      <c r="P221" s="56" cm="1">
        <f t="array" ref="P221">IF(O221&lt;0,1,IF(E221&lt;0, _xlfn.LET(_xlpm.v_cant, ABS(E221), _xlpm.v_fecha, B221, _xlpm.v_ticker, D221, _xlpm.rango_f, B222:B$1000, _xlpm.rango_t, E222:E$1000, _xlpm.filtro, D222:D$1000=_xlpm.v_ticker, _xlpm.c_fechas, _xlfn._xlws.FILTER(_xlpm.rango_f, _xlpm.filtro*(_xlpm.rango_t&gt;0), _xlpm.v_fecha), _xlpm.c_cants, _xlfn._xlws.FILTER(_xlpm.rango_t, _xlpm.filtro*(_xlpm.rango_t&gt;0), 0), _xlpm.v_acums_pasadas, ABS(SUMIFS(E222:E$1000, D222:D$1000, _xlpm.v_ticker, E222:E$1000,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22" spans="1:16" x14ac:dyDescent="0.45">
      <c r="A222" s="3" t="s">
        <v>25</v>
      </c>
      <c r="B222" s="4">
        <f t="shared" si="3"/>
        <v>45755</v>
      </c>
      <c r="C222" s="3" t="s">
        <v>90</v>
      </c>
      <c r="D222" s="3" t="s">
        <v>104</v>
      </c>
      <c r="E222" s="3">
        <v>3.6333539999999998E-2</v>
      </c>
      <c r="F222" s="3">
        <v>487.97879999999998</v>
      </c>
      <c r="G222" s="3">
        <v>-17.77</v>
      </c>
      <c r="H222" s="5">
        <v>20.686699999999998</v>
      </c>
      <c r="I222" s="8">
        <f>SUMIF(D222:D$1000,D222,E222:E$1000)</f>
        <v>0.16929280999999999</v>
      </c>
      <c r="J222" s="9" cm="1">
        <f t="array" ref="J222">IF(I222&gt;IFERROR(_xlfn.XLOOKUP(D222,D223:D$1000,I223:I$1000,,0,1),0),(IFERROR(_xlfn.XLOOKUP(D222,D223:D$1000,J223:J$1000,,0,1),0)*IFERROR(_xlfn.XLOOKUP(D222,D223:D$1000,I223:I$1000,,0,1),0)-G222*H222)/I222,_xlfn.XLOOKUP(D222,D223:D$1000,J223:J$1000,,0,1))</f>
        <v>9526.5108541821719</v>
      </c>
      <c r="K222" s="10" cm="1">
        <f t="array" ref="K222">IFERROR(IF(I222&lt;_xlfn.XLOOKUP(D222,D223:D$1000,I223:I$1000,,0,1),G222*H222-_xlfn.XLOOKUP(D222,D223:D$1000,J223:J$1000,,0,1)*-E222,0),0)</f>
        <v>0</v>
      </c>
      <c r="L222" s="56">
        <v>139.62</v>
      </c>
      <c r="M222" s="56">
        <v>139.161</v>
      </c>
      <c r="N222" s="59" cm="1">
        <f t="array" ref="N222">IF(I222&gt;_xlfn.XLOOKUP(D222,D223:D$1000,I223:I$1000,0,0,1),(_xlfn.XLOOKUP(D222,D223:D$1000,N223:N$1000,0,0,1)*MAX(1,L222/_xlfn.XLOOKUP(D222,D223:D$1000,L223:L$1000,L222,0,1))*_xlfn.XLOOKUP(D222,D223:D$1000,I223:I$1000,0,0,1)-G222*H222)/I222,_xlfn.XLOOKUP(D222,D223:D$1000,N223:N$1000,,0,1)*MAX(1,L222/_xlfn.XLOOKUP(D222,D223:D$1000,L223:L$1000,,0,1)))</f>
        <v>9597.8573635959419</v>
      </c>
      <c r="O222" s="59" cm="1">
        <f t="array" ref="O222">IFERROR(IF(I222&lt;_xlfn.XLOOKUP(D222,D223:D$1000,I223:I$1000,,0,1),G222*H222-_xlfn.XLOOKUP(D222,D223:D$1000,N223:N$1000,,0,1)*-E222*MAX(1,M222/IFERROR(_xlfn.XLOOKUP(D222,D223:D$1000,L223:L$1000,,0,1),M222)),0),0)</f>
        <v>0</v>
      </c>
      <c r="P222" s="56" t="str" cm="1">
        <f t="array" ref="P222">IF(O222&lt;0,1,IF(E222&lt;0, _xlfn.LET(_xlpm.v_cant, ABS(E222), _xlpm.v_fecha, B222, _xlpm.v_ticker, D222, _xlpm.rango_f, B223:B$1000, _xlpm.rango_t, E223:E$1000, _xlpm.filtro, D223:D$1000=_xlpm.v_ticker, _xlpm.c_fechas, _xlfn._xlws.FILTER(_xlpm.rango_f, _xlpm.filtro*(_xlpm.rango_t&gt;0), _xlpm.v_fecha), _xlpm.c_cants, _xlfn._xlws.FILTER(_xlpm.rango_t, _xlpm.filtro*(_xlpm.rango_t&gt;0), 0), _xlpm.v_acums_pasadas, ABS(SUMIFS(E223:E$1000, D223:D$1000, _xlpm.v_ticker, E223:E$1000,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23" spans="1:16" x14ac:dyDescent="0.45">
      <c r="A223" s="3" t="s">
        <v>25</v>
      </c>
      <c r="B223" s="4">
        <f t="shared" si="3"/>
        <v>45755</v>
      </c>
      <c r="C223" s="3" t="s">
        <v>90</v>
      </c>
      <c r="D223" s="3" t="s">
        <v>104</v>
      </c>
      <c r="E223" s="3">
        <v>2.4541319999999998E-2</v>
      </c>
      <c r="F223" s="3">
        <v>487.74880000000002</v>
      </c>
      <c r="G223" s="3">
        <v>-11.99</v>
      </c>
      <c r="H223" s="5">
        <v>20.686699999999998</v>
      </c>
      <c r="I223" s="8">
        <f>SUMIF(D223:D$1000,D223,E223:E$1000)</f>
        <v>0.13295926999999999</v>
      </c>
      <c r="J223" s="9" cm="1">
        <f t="array" ref="J223">IF(I223&gt;IFERROR(_xlfn.XLOOKUP(D223,D224:D$1000,I224:I$1000,,0,1),0),(IFERROR(_xlfn.XLOOKUP(D223,D224:D$1000,J224:J$1000,,0,1),0)*IFERROR(_xlfn.XLOOKUP(D223,D224:D$1000,I224:I$1000,,0,1),0)-G223*H223)/I223,_xlfn.XLOOKUP(D223,D224:D$1000,J224:J$1000,,0,1))</f>
        <v>9365.0268461913201</v>
      </c>
      <c r="K223" s="10" cm="1">
        <f t="array" ref="K223">IFERROR(IF(I223&lt;_xlfn.XLOOKUP(D223,D224:D$1000,I224:I$1000,,0,1),G223*H223-_xlfn.XLOOKUP(D223,D224:D$1000,J224:J$1000,,0,1)*-E223,0),0)</f>
        <v>0</v>
      </c>
      <c r="L223" s="56">
        <v>139.62</v>
      </c>
      <c r="M223" s="56">
        <v>139.161</v>
      </c>
      <c r="N223" s="59" cm="1">
        <f t="array" ref="N223">IF(I223&gt;_xlfn.XLOOKUP(D223,D224:D$1000,I224:I$1000,0,0,1),(_xlfn.XLOOKUP(D223,D224:D$1000,N224:N$1000,0,0,1)*MAX(1,L223/_xlfn.XLOOKUP(D223,D224:D$1000,L224:L$1000,L223,0,1))*_xlfn.XLOOKUP(D223,D224:D$1000,I224:I$1000,0,0,1)-G223*H223)/I223,_xlfn.XLOOKUP(D223,D224:D$1000,N224:N$1000,,0,1)*MAX(1,L223/_xlfn.XLOOKUP(D223,D224:D$1000,L224:L$1000,,0,1)))</f>
        <v>9455.8700876016319</v>
      </c>
      <c r="O223" s="59" cm="1">
        <f t="array" ref="O223">IFERROR(IF(I223&lt;_xlfn.XLOOKUP(D223,D224:D$1000,I224:I$1000,,0,1),G223*H223-_xlfn.XLOOKUP(D223,D224:D$1000,N224:N$1000,,0,1)*-E223*MAX(1,M223/IFERROR(_xlfn.XLOOKUP(D223,D224:D$1000,L224:L$1000,,0,1),M223)),0),0)</f>
        <v>0</v>
      </c>
      <c r="P223" s="56" t="str" cm="1">
        <f t="array" ref="P223">IF(O223&lt;0,1,IF(E223&lt;0, _xlfn.LET(_xlpm.v_cant, ABS(E223), _xlpm.v_fecha, B223, _xlpm.v_ticker, D223, _xlpm.rango_f, B224:B$1000, _xlpm.rango_t, E224:E$1000, _xlpm.filtro, D224:D$1000=_xlpm.v_ticker, _xlpm.c_fechas, _xlfn._xlws.FILTER(_xlpm.rango_f, _xlpm.filtro*(_xlpm.rango_t&gt;0), _xlpm.v_fecha), _xlpm.c_cants, _xlfn._xlws.FILTER(_xlpm.rango_t, _xlpm.filtro*(_xlpm.rango_t&gt;0), 0), _xlpm.v_acums_pasadas, ABS(SUMIFS(E224:E$1000, D224:D$1000, _xlpm.v_ticker, E224:E$1000,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24" spans="1:16" x14ac:dyDescent="0.45">
      <c r="A224" s="3" t="s">
        <v>24</v>
      </c>
      <c r="B224" s="4">
        <f t="shared" si="3"/>
        <v>45751</v>
      </c>
      <c r="C224" s="3" t="s">
        <v>90</v>
      </c>
      <c r="D224" s="3" t="s">
        <v>133</v>
      </c>
      <c r="E224" s="3">
        <v>1</v>
      </c>
      <c r="F224" s="3">
        <v>8.8388000000000009</v>
      </c>
      <c r="G224" s="3">
        <v>-8.84</v>
      </c>
      <c r="H224" s="5">
        <v>20.501000000000001</v>
      </c>
      <c r="I224" s="8">
        <f>SUMIF(D224:D$1000,D224,E224:E$1000)</f>
        <v>1.6925374399999999</v>
      </c>
      <c r="J224" s="9" cm="1">
        <f t="array" ref="J224">IF(I224&gt;IFERROR(_xlfn.XLOOKUP(D224,D225:D$1000,I225:I$1000,,0,1),0),(IFERROR(_xlfn.XLOOKUP(D224,D225:D$1000,J225:J$1000,,0,1),0)*IFERROR(_xlfn.XLOOKUP(D224,D225:D$1000,I225:I$1000,,0,1),0)-G224*H224)/I224,_xlfn.XLOOKUP(D224,D225:D$1000,J225:J$1000,,0,1))</f>
        <v>181.56761719847097</v>
      </c>
      <c r="K224" s="10" cm="1">
        <f t="array" ref="K224">IFERROR(IF(I224&lt;_xlfn.XLOOKUP(D224,D225:D$1000,I225:I$1000,,0,1),G224*H224-_xlfn.XLOOKUP(D224,D225:D$1000,J225:J$1000,,0,1)*-E224,0),0)</f>
        <v>0</v>
      </c>
      <c r="L224" s="56">
        <v>139.62</v>
      </c>
      <c r="M224" s="56">
        <v>139.161</v>
      </c>
      <c r="N224" s="59" cm="1">
        <f t="array" ref="N224">IF(I224&gt;_xlfn.XLOOKUP(D224,D225:D$1000,I225:I$1000,0,0,1),(_xlfn.XLOOKUP(D224,D225:D$1000,N225:N$1000,0,0,1)*MAX(1,L224/_xlfn.XLOOKUP(D224,D225:D$1000,L225:L$1000,L224,0,1))*_xlfn.XLOOKUP(D224,D225:D$1000,I225:I$1000,0,0,1)-G224*H224)/I224,_xlfn.XLOOKUP(D224,D225:D$1000,N225:N$1000,,0,1)*MAX(1,L224/_xlfn.XLOOKUP(D224,D225:D$1000,L225:L$1000,,0,1)))</f>
        <v>181.56761719847097</v>
      </c>
      <c r="O224" s="59" cm="1">
        <f t="array" ref="O224">IFERROR(IF(I224&lt;_xlfn.XLOOKUP(D224,D225:D$1000,I225:I$1000,,0,1),G224*H224-_xlfn.XLOOKUP(D224,D225:D$1000,N225:N$1000,,0,1)*-E224*MAX(1,M224/IFERROR(_xlfn.XLOOKUP(D224,D225:D$1000,L225:L$1000,,0,1),M224)),0),0)</f>
        <v>0</v>
      </c>
      <c r="P224" s="56" t="str" cm="1">
        <f t="array" ref="P224">IF(O224&lt;0,1,IF(E224&lt;0, _xlfn.LET(_xlpm.v_cant, ABS(E224), _xlpm.v_fecha, B224, _xlpm.v_ticker, D224, _xlpm.rango_f, B225:B$1000, _xlpm.rango_t, E225:E$1000, _xlpm.filtro, D225:D$1000=_xlpm.v_ticker, _xlpm.c_fechas, _xlfn._xlws.FILTER(_xlpm.rango_f, _xlpm.filtro*(_xlpm.rango_t&gt;0), _xlpm.v_fecha), _xlpm.c_cants, _xlfn._xlws.FILTER(_xlpm.rango_t, _xlpm.filtro*(_xlpm.rango_t&gt;0), 0), _xlpm.v_acums_pasadas, ABS(SUMIFS(E225:E$1000, D225:D$1000, _xlpm.v_ticker, E225:E$1000,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25" spans="1:16" x14ac:dyDescent="0.45">
      <c r="A225" s="3" t="s">
        <v>24</v>
      </c>
      <c r="B225" s="4">
        <f t="shared" si="3"/>
        <v>45751</v>
      </c>
      <c r="C225" s="3" t="s">
        <v>90</v>
      </c>
      <c r="D225" s="3" t="s">
        <v>133</v>
      </c>
      <c r="E225" s="3">
        <v>0.69253743999999995</v>
      </c>
      <c r="F225" s="3">
        <v>8.8388000000000009</v>
      </c>
      <c r="G225" s="3">
        <v>-6.15</v>
      </c>
      <c r="H225" s="5">
        <v>20.501000000000001</v>
      </c>
      <c r="I225" s="8">
        <f>SUMIF(D225:D$1000,D225,E225:E$1000)</f>
        <v>0.69253743999999995</v>
      </c>
      <c r="J225" s="9" cm="1">
        <f t="array" ref="J225">IF(I225&gt;IFERROR(_xlfn.XLOOKUP(D225,D226:D$1000,I226:I$1000,,0,1),0),(IFERROR(_xlfn.XLOOKUP(D225,D226:D$1000,J226:J$1000,,0,1),0)*IFERROR(_xlfn.XLOOKUP(D225,D226:D$1000,I226:I$1000,,0,1),0)-G225*H225)/I225,_xlfn.XLOOKUP(D225,D226:D$1000,J226:J$1000,,0,1))</f>
        <v>182.05679970168836</v>
      </c>
      <c r="K225" s="10" cm="1">
        <f t="array" ref="K225">IFERROR(IF(I225&lt;_xlfn.XLOOKUP(D225,D226:D$1000,I226:I$1000,,0,1),G225*H225-_xlfn.XLOOKUP(D225,D226:D$1000,J226:J$1000,,0,1)*-E225,0),0)</f>
        <v>0</v>
      </c>
      <c r="L225" s="56">
        <v>139.62</v>
      </c>
      <c r="M225" s="56">
        <v>139.161</v>
      </c>
      <c r="N225" s="59" cm="1">
        <f t="array" ref="N225">IF(I225&gt;_xlfn.XLOOKUP(D225,D226:D$1000,I226:I$1000,0,0,1),(_xlfn.XLOOKUP(D225,D226:D$1000,N226:N$1000,0,0,1)*MAX(1,L225/_xlfn.XLOOKUP(D225,D226:D$1000,L226:L$1000,L225,0,1))*_xlfn.XLOOKUP(D225,D226:D$1000,I226:I$1000,0,0,1)-G225*H225)/I225,_xlfn.XLOOKUP(D225,D226:D$1000,N226:N$1000,,0,1)*MAX(1,L225/_xlfn.XLOOKUP(D225,D226:D$1000,L226:L$1000,,0,1)))</f>
        <v>182.05679970168836</v>
      </c>
      <c r="O225" s="59" cm="1">
        <f t="array" ref="O225">IFERROR(IF(I225&lt;_xlfn.XLOOKUP(D225,D226:D$1000,I226:I$1000,,0,1),G225*H225-_xlfn.XLOOKUP(D225,D226:D$1000,N226:N$1000,,0,1)*-E225*MAX(1,M225/IFERROR(_xlfn.XLOOKUP(D225,D226:D$1000,L226:L$1000,,0,1),M225)),0),0)</f>
        <v>0</v>
      </c>
      <c r="P225" s="56" t="str" cm="1">
        <f t="array" ref="P225">IF(O225&lt;0,1,IF(E225&lt;0, _xlfn.LET(_xlpm.v_cant, ABS(E225), _xlpm.v_fecha, B225, _xlpm.v_ticker, D225, _xlpm.rango_f, B226:B$1000, _xlpm.rango_t, E226:E$1000, _xlpm.filtro, D226:D$1000=_xlpm.v_ticker, _xlpm.c_fechas, _xlfn._xlws.FILTER(_xlpm.rango_f, _xlpm.filtro*(_xlpm.rango_t&gt;0), _xlpm.v_fecha), _xlpm.c_cants, _xlfn._xlws.FILTER(_xlpm.rango_t, _xlpm.filtro*(_xlpm.rango_t&gt;0), 0), _xlpm.v_acums_pasadas, ABS(SUMIFS(E226:E$1000, D226:D$1000, _xlpm.v_ticker, E226:E$1000,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26" spans="1:16" x14ac:dyDescent="0.45">
      <c r="A226" s="3" t="s">
        <v>24</v>
      </c>
      <c r="B226" s="4">
        <f t="shared" si="3"/>
        <v>45751</v>
      </c>
      <c r="C226" s="3" t="s">
        <v>90</v>
      </c>
      <c r="D226" s="3" t="s">
        <v>134</v>
      </c>
      <c r="E226" s="3">
        <v>0.37974858</v>
      </c>
      <c r="F226" s="3">
        <v>43.528799999999997</v>
      </c>
      <c r="G226" s="3">
        <v>-16.57</v>
      </c>
      <c r="H226" s="5">
        <v>20.501000000000001</v>
      </c>
      <c r="I226" s="8">
        <f>SUMIF(D226:D$1000,D226,E226:E$1000)</f>
        <v>0.37974858</v>
      </c>
      <c r="J226" s="9" cm="1">
        <f t="array" ref="J226">IF(I226&gt;IFERROR(_xlfn.XLOOKUP(D226,D227:D$1000,I227:I$1000,,0,1),0),(IFERROR(_xlfn.XLOOKUP(D226,D227:D$1000,J227:J$1000,,0,1),0)*IFERROR(_xlfn.XLOOKUP(D226,D227:D$1000,I227:I$1000,,0,1),0)-G226*H226)/I226,_xlfn.XLOOKUP(D226,D227:D$1000,J227:J$1000,,0,1))</f>
        <v>894.54335813447938</v>
      </c>
      <c r="K226" s="10" cm="1">
        <f t="array" ref="K226">IFERROR(IF(I226&lt;_xlfn.XLOOKUP(D226,D227:D$1000,I227:I$1000,,0,1),G226*H226-_xlfn.XLOOKUP(D226,D227:D$1000,J227:J$1000,,0,1)*-E226,0),0)</f>
        <v>0</v>
      </c>
      <c r="L226" s="56">
        <v>139.62</v>
      </c>
      <c r="M226" s="56">
        <v>139.161</v>
      </c>
      <c r="N226" s="59" cm="1">
        <f t="array" ref="N226">IF(I226&gt;_xlfn.XLOOKUP(D226,D227:D$1000,I227:I$1000,0,0,1),(_xlfn.XLOOKUP(D226,D227:D$1000,N227:N$1000,0,0,1)*MAX(1,L226/_xlfn.XLOOKUP(D226,D227:D$1000,L227:L$1000,L226,0,1))*_xlfn.XLOOKUP(D226,D227:D$1000,I227:I$1000,0,0,1)-G226*H226)/I226,_xlfn.XLOOKUP(D226,D227:D$1000,N227:N$1000,,0,1)*MAX(1,L226/_xlfn.XLOOKUP(D226,D227:D$1000,L227:L$1000,,0,1)))</f>
        <v>894.54335813447938</v>
      </c>
      <c r="O226" s="59" cm="1">
        <f t="array" ref="O226">IFERROR(IF(I226&lt;_xlfn.XLOOKUP(D226,D227:D$1000,I227:I$1000,,0,1),G226*H226-_xlfn.XLOOKUP(D226,D227:D$1000,N227:N$1000,,0,1)*-E226*MAX(1,M226/IFERROR(_xlfn.XLOOKUP(D226,D227:D$1000,L227:L$1000,,0,1),M226)),0),0)</f>
        <v>0</v>
      </c>
      <c r="P226" s="56" t="str" cm="1">
        <f t="array" ref="P226">IF(O226&lt;0,1,IF(E226&lt;0, _xlfn.LET(_xlpm.v_cant, ABS(E226), _xlpm.v_fecha, B226, _xlpm.v_ticker, D226, _xlpm.rango_f, B227:B$1000, _xlpm.rango_t, E227:E$1000, _xlpm.filtro, D227:D$1000=_xlpm.v_ticker, _xlpm.c_fechas, _xlfn._xlws.FILTER(_xlpm.rango_f, _xlpm.filtro*(_xlpm.rango_t&gt;0), _xlpm.v_fecha), _xlpm.c_cants, _xlfn._xlws.FILTER(_xlpm.rango_t, _xlpm.filtro*(_xlpm.rango_t&gt;0), 0), _xlpm.v_acums_pasadas, ABS(SUMIFS(E227:E$1000, D227:D$1000, _xlpm.v_ticker, E227:E$1000,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27" spans="1:16" x14ac:dyDescent="0.45">
      <c r="A227" s="3" t="s">
        <v>23</v>
      </c>
      <c r="B227" s="4">
        <f t="shared" si="3"/>
        <v>45750</v>
      </c>
      <c r="C227" s="3" t="s">
        <v>91</v>
      </c>
      <c r="D227" s="3" t="s">
        <v>109</v>
      </c>
      <c r="E227" s="3">
        <v>-0.69773527999999996</v>
      </c>
      <c r="F227" s="3">
        <v>9.9312000000000005</v>
      </c>
      <c r="G227" s="3">
        <v>6.92</v>
      </c>
      <c r="H227" s="5">
        <v>19.970800000000001</v>
      </c>
      <c r="I227" s="8">
        <f>SUMIF(D227:D$1000,D227,E227:E$1000)</f>
        <v>2.0922926200000003</v>
      </c>
      <c r="J227" s="9" cm="1">
        <f t="array" ref="J227">IF(I227&gt;IFERROR(_xlfn.XLOOKUP(D227,D228:D$1000,I228:I$1000,,0,1),0),(IFERROR(_xlfn.XLOOKUP(D227,D228:D$1000,J228:J$1000,,0,1),0)*IFERROR(_xlfn.XLOOKUP(D227,D228:D$1000,I228:I$1000,,0,1),0)-G227*H227)/I227,_xlfn.XLOOKUP(D227,D228:D$1000,J228:J$1000,,0,1))</f>
        <v>178.69599081786961</v>
      </c>
      <c r="K227" s="10" cm="1">
        <f t="array" ref="K227">IFERROR(IF(I227&lt;_xlfn.XLOOKUP(D227,D228:D$1000,I228:I$1000,,0,1),G227*H227-_xlfn.XLOOKUP(D227,D228:D$1000,J228:J$1000,,0,1)*-E227,0),0)</f>
        <v>13.515438811816324</v>
      </c>
      <c r="L227" s="57">
        <v>139.62</v>
      </c>
      <c r="M227" s="58">
        <v>139.161</v>
      </c>
      <c r="N227" s="59" cm="1">
        <f t="array" ref="N227">IF(I227&gt;_xlfn.XLOOKUP(D227,D228:D$1000,I228:I$1000,0,0,1),(_xlfn.XLOOKUP(D227,D228:D$1000,N228:N$1000,0,0,1)*MAX(1,L227/_xlfn.XLOOKUP(D227,D228:D$1000,L228:L$1000,L227,0,1))*_xlfn.XLOOKUP(D227,D228:D$1000,I228:I$1000,0,0,1)-G227*H227)/I227,_xlfn.XLOOKUP(D227,D228:D$1000,N228:N$1000,,0,1)*MAX(1,L227/_xlfn.XLOOKUP(D227,D228:D$1000,L228:L$1000,,0,1)))</f>
        <v>180.8605661366951</v>
      </c>
      <c r="O227" s="59" cm="1">
        <f t="array" ref="O227">IFERROR(IF(I227&lt;_xlfn.XLOOKUP(D227,D228:D$1000,I228:I$1000,,0,1),G227*H227-_xlfn.XLOOKUP(D227,D228:D$1000,N228:N$1000,,0,1)*-E227*MAX(1,M227/IFERROR(_xlfn.XLOOKUP(D227,D228:D$1000,L228:L$1000,,0,1),M227)),0),0)</f>
        <v>12.419996390399135</v>
      </c>
      <c r="P227" s="56" cm="1">
        <f t="array" ref="P227">IF(O227&lt;0,1,IF(E227&lt;0, _xlfn.LET(_xlpm.v_cant, ABS(E227), _xlpm.v_fecha, B227, _xlpm.v_ticker, D227, _xlpm.rango_f, B228:B$1000, _xlpm.rango_t, E228:E$1000, _xlpm.filtro, D228:D$1000=_xlpm.v_ticker, _xlpm.c_fechas, _xlfn._xlws.FILTER(_xlpm.rango_f, _xlpm.filtro*(_xlpm.rango_t&gt;0), _xlpm.v_fecha), _xlpm.c_cants, _xlfn._xlws.FILTER(_xlpm.rango_t, _xlpm.filtro*(_xlpm.rango_t&gt;0), 0), _xlpm.v_acums_pasadas, ABS(SUMIFS(E228:E$1000, D228:D$1000, _xlpm.v_ticker, E228:E$1000,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28" spans="1:16" x14ac:dyDescent="0.45">
      <c r="A228" s="3" t="s">
        <v>23</v>
      </c>
      <c r="B228" s="4">
        <f t="shared" si="3"/>
        <v>45750</v>
      </c>
      <c r="C228" s="3" t="s">
        <v>91</v>
      </c>
      <c r="D228" s="3" t="s">
        <v>113</v>
      </c>
      <c r="E228" s="3">
        <v>-5.241436E-2</v>
      </c>
      <c r="F228" s="3">
        <v>157.5412</v>
      </c>
      <c r="G228" s="3">
        <v>8.24</v>
      </c>
      <c r="H228" s="5">
        <v>19.970800000000001</v>
      </c>
      <c r="I228" s="8">
        <f>SUMIF(D228:D$1000,D228,E228:E$1000)</f>
        <v>0.15728753000000001</v>
      </c>
      <c r="J228" s="9" cm="1">
        <f t="array" ref="J228">IF(I228&gt;IFERROR(_xlfn.XLOOKUP(D228,D229:D$1000,I229:I$1000,,0,1),0),(IFERROR(_xlfn.XLOOKUP(D228,D229:D$1000,J229:J$1000,,0,1),0)*IFERROR(_xlfn.XLOOKUP(D228,D229:D$1000,I229:I$1000,,0,1),0)-G228*H228)/I228,_xlfn.XLOOKUP(D228,D229:D$1000,J229:J$1000,,0,1))</f>
        <v>2855.8791959385771</v>
      </c>
      <c r="K228" s="10" cm="1">
        <f t="array" ref="K228">IFERROR(IF(I228&lt;_xlfn.XLOOKUP(D228,D229:D$1000,I229:I$1000,,0,1),G228*H228-_xlfn.XLOOKUP(D228,D229:D$1000,J229:J$1000,,0,1)*-E228,0),0)</f>
        <v>14.870311707564895</v>
      </c>
      <c r="L228" s="56">
        <v>139.62</v>
      </c>
      <c r="M228" s="56">
        <v>139.161</v>
      </c>
      <c r="N228" s="59" cm="1">
        <f t="array" ref="N228">IF(I228&gt;_xlfn.XLOOKUP(D228,D229:D$1000,I229:I$1000,0,0,1),(_xlfn.XLOOKUP(D228,D229:D$1000,N229:N$1000,0,0,1)*MAX(1,L228/_xlfn.XLOOKUP(D228,D229:D$1000,L229:L$1000,L228,0,1))*_xlfn.XLOOKUP(D228,D229:D$1000,I229:I$1000,0,0,1)-G228*H228)/I228,_xlfn.XLOOKUP(D228,D229:D$1000,N229:N$1000,,0,1)*MAX(1,L228/_xlfn.XLOOKUP(D228,D229:D$1000,L229:L$1000,,0,1)))</f>
        <v>2890.4729525907696</v>
      </c>
      <c r="O228" s="59" cm="1">
        <f t="array" ref="O228">IFERROR(IF(I228&lt;_xlfn.XLOOKUP(D228,D229:D$1000,I229:I$1000,,0,1),G228*H228-_xlfn.XLOOKUP(D228,D229:D$1000,N229:N$1000,,0,1)*-E228*MAX(1,M228/IFERROR(_xlfn.XLOOKUP(D228,D229:D$1000,L229:L$1000,,0,1),M228)),0),0)</f>
        <v>13.555165056886523</v>
      </c>
      <c r="P228" s="56" cm="1">
        <f t="array" ref="P228">IF(O228&lt;0,1,IF(E228&lt;0, _xlfn.LET(_xlpm.v_cant, ABS(E228), _xlpm.v_fecha, B228, _xlpm.v_ticker, D228, _xlpm.rango_f, B229:B$1000, _xlpm.rango_t, E229:E$1000, _xlpm.filtro, D229:D$1000=_xlpm.v_ticker, _xlpm.c_fechas, _xlfn._xlws.FILTER(_xlpm.rango_f, _xlpm.filtro*(_xlpm.rango_t&gt;0), _xlpm.v_fecha), _xlpm.c_cants, _xlfn._xlws.FILTER(_xlpm.rango_t, _xlpm.filtro*(_xlpm.rango_t&gt;0), 0), _xlpm.v_acums_pasadas, ABS(SUMIFS(E229:E$1000, D229:D$1000, _xlpm.v_ticker, E229:E$1000,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29" spans="1:16" x14ac:dyDescent="0.45">
      <c r="A229" s="3" t="s">
        <v>23</v>
      </c>
      <c r="B229" s="4">
        <f t="shared" si="3"/>
        <v>45750</v>
      </c>
      <c r="C229" s="3" t="s">
        <v>91</v>
      </c>
      <c r="D229" s="3" t="s">
        <v>112</v>
      </c>
      <c r="E229" s="3">
        <v>-0.20411581000000001</v>
      </c>
      <c r="F229" s="3">
        <v>70.4512</v>
      </c>
      <c r="G229" s="3">
        <v>14.35</v>
      </c>
      <c r="H229" s="5">
        <v>19.970800000000001</v>
      </c>
      <c r="I229" s="8">
        <f>SUMIF(D229:D$1000,D229,E229:E$1000)</f>
        <v>0.6122436</v>
      </c>
      <c r="J229" s="9" cm="1">
        <f t="array" ref="J229">IF(I229&gt;IFERROR(_xlfn.XLOOKUP(D229,D230:D$1000,I230:I$1000,,0,1),0),(IFERROR(_xlfn.XLOOKUP(D229,D230:D$1000,J230:J$1000,,0,1),0)*IFERROR(_xlfn.XLOOKUP(D229,D230:D$1000,I230:I$1000,,0,1),0)-G229*H229)/I229,_xlfn.XLOOKUP(D229,D230:D$1000,J230:J$1000,,0,1))</f>
        <v>1222.6707535593912</v>
      </c>
      <c r="K229" s="10" cm="1">
        <f t="array" ref="K229">IFERROR(IF(I229&lt;_xlfn.XLOOKUP(D229,D230:D$1000,I230:I$1000,,0,1),G229*H229-_xlfn.XLOOKUP(D229,D230:D$1000,J230:J$1000,,0,1)*-E229,0),0)</f>
        <v>37.014548773914498</v>
      </c>
      <c r="L229" s="56">
        <v>139.62</v>
      </c>
      <c r="M229" s="56">
        <v>139.161</v>
      </c>
      <c r="N229" s="59" cm="1">
        <f t="array" ref="N229">IF(I229&gt;_xlfn.XLOOKUP(D229,D230:D$1000,I230:I$1000,0,0,1),(_xlfn.XLOOKUP(D229,D230:D$1000,N230:N$1000,0,0,1)*MAX(1,L229/_xlfn.XLOOKUP(D229,D230:D$1000,L230:L$1000,L229,0,1))*_xlfn.XLOOKUP(D229,D230:D$1000,I230:I$1000,0,0,1)-G229*H229)/I229,_xlfn.XLOOKUP(D229,D230:D$1000,N230:N$1000,,0,1)*MAX(1,L229/_xlfn.XLOOKUP(D229,D230:D$1000,L230:L$1000,,0,1)))</f>
        <v>1237.4811750136803</v>
      </c>
      <c r="O229" s="59" cm="1">
        <f t="array" ref="O229">IFERROR(IF(I229&lt;_xlfn.XLOOKUP(D229,D230:D$1000,I230:I$1000,,0,1),G229*H229-_xlfn.XLOOKUP(D229,D230:D$1000,N230:N$1000,,0,1)*-E229*MAX(1,M229/IFERROR(_xlfn.XLOOKUP(D229,D230:D$1000,L230:L$1000,,0,1),M229)),0),0)</f>
        <v>34.821894135997468</v>
      </c>
      <c r="P229" s="56" cm="1">
        <f t="array" ref="P229">IF(O229&lt;0,1,IF(E229&lt;0, _xlfn.LET(_xlpm.v_cant, ABS(E229), _xlpm.v_fecha, B229, _xlpm.v_ticker, D229, _xlpm.rango_f, B230:B$1000, _xlpm.rango_t, E230:E$1000, _xlpm.filtro, D230:D$1000=_xlpm.v_ticker, _xlpm.c_fechas, _xlfn._xlws.FILTER(_xlpm.rango_f, _xlpm.filtro*(_xlpm.rango_t&gt;0), _xlpm.v_fecha), _xlpm.c_cants, _xlfn._xlws.FILTER(_xlpm.rango_t, _xlpm.filtro*(_xlpm.rango_t&gt;0), 0), _xlpm.v_acums_pasadas, ABS(SUMIFS(E230:E$1000, D230:D$1000, _xlpm.v_ticker, E230:E$1000,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30" spans="1:16" x14ac:dyDescent="0.45">
      <c r="A230" s="3" t="s">
        <v>23</v>
      </c>
      <c r="B230" s="4">
        <f t="shared" si="3"/>
        <v>45750</v>
      </c>
      <c r="C230" s="3" t="s">
        <v>91</v>
      </c>
      <c r="D230" s="3" t="s">
        <v>103</v>
      </c>
      <c r="E230" s="3">
        <v>-0.25027862000000001</v>
      </c>
      <c r="F230" s="3">
        <v>31.401199999999999</v>
      </c>
      <c r="G230" s="3">
        <v>7.85</v>
      </c>
      <c r="H230" s="5">
        <v>19.970800000000001</v>
      </c>
      <c r="I230" s="8">
        <f>SUMIF(D230:D$1000,D230,E230:E$1000)</f>
        <v>0.75071916999999999</v>
      </c>
      <c r="J230" s="9" cm="1">
        <f t="array" ref="J230">IF(I230&gt;IFERROR(_xlfn.XLOOKUP(D230,D231:D$1000,I231:I$1000,,0,1),0),(IFERROR(_xlfn.XLOOKUP(D230,D231:D$1000,J231:J$1000,,0,1),0)*IFERROR(_xlfn.XLOOKUP(D230,D231:D$1000,I231:I$1000,,0,1),0)-G230*H230)/I230,_xlfn.XLOOKUP(D230,D231:D$1000,J231:J$1000,,0,1))</f>
        <v>620.1384820240213</v>
      </c>
      <c r="K230" s="10" cm="1">
        <f t="array" ref="K230">IFERROR(IF(I230&lt;_xlfn.XLOOKUP(D230,D231:D$1000,I231:I$1000,,0,1),G230*H230-_xlfn.XLOOKUP(D230,D231:D$1000,J231:J$1000,,0,1)*-E230,0),0)</f>
        <v>1.5633765101331392</v>
      </c>
      <c r="L230" s="56">
        <v>139.62</v>
      </c>
      <c r="M230" s="56">
        <v>139.161</v>
      </c>
      <c r="N230" s="59" cm="1">
        <f t="array" ref="N230">IF(I230&gt;_xlfn.XLOOKUP(D230,D231:D$1000,I231:I$1000,0,0,1),(_xlfn.XLOOKUP(D230,D231:D$1000,N231:N$1000,0,0,1)*MAX(1,L230/_xlfn.XLOOKUP(D230,D231:D$1000,L231:L$1000,L230,0,1))*_xlfn.XLOOKUP(D230,D231:D$1000,I231:I$1000,0,0,1)-G230*H230)/I230,_xlfn.XLOOKUP(D230,D231:D$1000,N231:N$1000,,0,1)*MAX(1,L230/_xlfn.XLOOKUP(D230,D231:D$1000,L231:L$1000,,0,1)))</f>
        <v>632.79251951496667</v>
      </c>
      <c r="O230" s="59" cm="1">
        <f t="array" ref="O230">IFERROR(IF(I230&lt;_xlfn.XLOOKUP(D230,D231:D$1000,I231:I$1000,,0,1),G230*H230-_xlfn.XLOOKUP(D230,D231:D$1000,N231:N$1000,,0,1)*-E230*MAX(1,M230/IFERROR(_xlfn.XLOOKUP(D230,D231:D$1000,L231:L$1000,,0,1),M230)),0),0)</f>
        <v>-1.0830034146034677</v>
      </c>
      <c r="P230" s="56" cm="1">
        <f t="array" ref="P230">IF(O230&lt;0,1,IF(E230&lt;0, _xlfn.LET(_xlpm.v_cant, ABS(E230), _xlpm.v_fecha, B230, _xlpm.v_ticker, D230, _xlpm.rango_f, B231:B$1000, _xlpm.rango_t, E231:E$1000, _xlpm.filtro, D231:D$1000=_xlpm.v_ticker, _xlpm.c_fechas, _xlfn._xlws.FILTER(_xlpm.rango_f, _xlpm.filtro*(_xlpm.rango_t&gt;0), _xlpm.v_fecha), _xlpm.c_cants, _xlfn._xlws.FILTER(_xlpm.rango_t, _xlpm.filtro*(_xlpm.rango_t&gt;0), 0), _xlpm.v_acums_pasadas, ABS(SUMIFS(E231:E$1000, D231:D$1000, _xlpm.v_ticker, E231:E$1000,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31" spans="1:16" x14ac:dyDescent="0.45">
      <c r="A231" s="3" t="s">
        <v>23</v>
      </c>
      <c r="B231" s="4">
        <f t="shared" si="3"/>
        <v>45750</v>
      </c>
      <c r="C231" s="3" t="s">
        <v>91</v>
      </c>
      <c r="D231" s="3" t="s">
        <v>119</v>
      </c>
      <c r="E231" s="3">
        <f>-0.0971754*2</f>
        <v>-0.19435079999999999</v>
      </c>
      <c r="F231" s="3">
        <v>87.831199999999995</v>
      </c>
      <c r="G231" s="3">
        <v>8.52</v>
      </c>
      <c r="H231" s="5">
        <v>19.970800000000001</v>
      </c>
      <c r="I231" s="8">
        <f>SUMIF(D231:D$1000,D231,E231:E$1000)</f>
        <v>0.5830111</v>
      </c>
      <c r="J231" s="9" cm="1">
        <f t="array" ref="J231">IF(I231&gt;IFERROR(_xlfn.XLOOKUP(D231,D232:D$1000,I232:I$1000,,0,1),0),(IFERROR(_xlfn.XLOOKUP(D231,D232:D$1000,J232:J$1000,,0,1),0)*IFERROR(_xlfn.XLOOKUP(D231,D232:D$1000,I232:I$1000,,0,1),0)-G231*H231)/I231,_xlfn.XLOOKUP(D231,D232:D$1000,J232:J$1000,,0,1))</f>
        <v>895.23608630677688</v>
      </c>
      <c r="K231" s="10" cm="1">
        <f t="array" ref="K231">IFERROR(IF(I231&lt;_xlfn.XLOOKUP(D231,D232:D$1000,I232:I$1000,,0,1),G231*H231-_xlfn.XLOOKUP(D231,D232:D$1000,J232:J$1000,,0,1)*-E231,0),0)</f>
        <v>-3.8386335625911272</v>
      </c>
      <c r="L231" s="56">
        <v>139.62</v>
      </c>
      <c r="M231" s="56">
        <v>139.161</v>
      </c>
      <c r="N231" s="59" cm="1">
        <f t="array" ref="N231">IF(I231&gt;_xlfn.XLOOKUP(D231,D232:D$1000,I232:I$1000,0,0,1),(_xlfn.XLOOKUP(D231,D232:D$1000,N232:N$1000,0,0,1)*MAX(1,L231/_xlfn.XLOOKUP(D231,D232:D$1000,L232:L$1000,L231,0,1))*_xlfn.XLOOKUP(D231,D232:D$1000,I232:I$1000,0,0,1)-G231*H231)/I231,_xlfn.XLOOKUP(D231,D232:D$1000,N232:N$1000,,0,1)*MAX(1,L231/_xlfn.XLOOKUP(D231,D232:D$1000,L232:L$1000,,0,1)))</f>
        <v>913.50353999292679</v>
      </c>
      <c r="O231" s="59" cm="1">
        <f t="array" ref="O231">IFERROR(IF(I231&lt;_xlfn.XLOOKUP(D231,D232:D$1000,I232:I$1000,,0,1),G231*H231-_xlfn.XLOOKUP(D231,D232:D$1000,N232:N$1000,,0,1)*-E231*MAX(1,M231/IFERROR(_xlfn.XLOOKUP(D231,D232:D$1000,L232:L$1000,,0,1),M231)),0),0)</f>
        <v>-6.8052655314098445</v>
      </c>
      <c r="P231" s="56" cm="1">
        <f t="array" ref="P231">IF(O231&lt;0,1,IF(E231&lt;0, _xlfn.LET(_xlpm.v_cant, ABS(E231), _xlpm.v_fecha, B231, _xlpm.v_ticker, D231, _xlpm.rango_f, B232:B$1000, _xlpm.rango_t, E232:E$1000, _xlpm.filtro, D232:D$1000=_xlpm.v_ticker, _xlpm.c_fechas, _xlfn._xlws.FILTER(_xlpm.rango_f, _xlpm.filtro*(_xlpm.rango_t&gt;0), _xlpm.v_fecha), _xlpm.c_cants, _xlfn._xlws.FILTER(_xlpm.rango_t, _xlpm.filtro*(_xlpm.rango_t&gt;0), 0), _xlpm.v_acums_pasadas, ABS(SUMIFS(E232:E$1000, D232:D$1000, _xlpm.v_ticker, E232:E$1000,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32" spans="1:16" x14ac:dyDescent="0.45">
      <c r="A232" s="3" t="s">
        <v>55</v>
      </c>
      <c r="B232" s="4">
        <f t="shared" si="3"/>
        <v>45741</v>
      </c>
      <c r="C232" s="3" t="s">
        <v>90</v>
      </c>
      <c r="D232" s="3" t="s">
        <v>121</v>
      </c>
      <c r="E232" s="3">
        <v>3</v>
      </c>
      <c r="F232" s="3">
        <v>7.0987999999999998</v>
      </c>
      <c r="G232" s="3">
        <v>-21.3</v>
      </c>
      <c r="H232" s="5">
        <v>20.0762</v>
      </c>
      <c r="I232" s="8">
        <f>SUMIF(D232:D$1000,D232,E232:E$1000)</f>
        <v>11.99469135</v>
      </c>
      <c r="J232" s="9" cm="1">
        <f t="array" ref="J232">IF(I232&gt;IFERROR(_xlfn.XLOOKUP(D232,D233:D$1000,I233:I$1000,,0,1),0),(IFERROR(_xlfn.XLOOKUP(D232,D233:D$1000,J233:J$1000,,0,1),0)*IFERROR(_xlfn.XLOOKUP(D232,D233:D$1000,I233:I$1000,,0,1),0)-G232*H232)/I232,_xlfn.XLOOKUP(D232,D233:D$1000,J233:J$1000,,0,1))</f>
        <v>107.63287051984042</v>
      </c>
      <c r="K232" s="10" cm="1">
        <f t="array" ref="K232">IFERROR(IF(I232&lt;_xlfn.XLOOKUP(D232,D233:D$1000,I233:I$1000,,0,1),G232*H232-_xlfn.XLOOKUP(D232,D233:D$1000,J233:J$1000,,0,1)*-E232,0),0)</f>
        <v>0</v>
      </c>
      <c r="L232" s="56">
        <v>139.161</v>
      </c>
      <c r="M232" s="56">
        <v>138.726</v>
      </c>
      <c r="N232" s="59" cm="1">
        <f t="array" ref="N232">IF(I232&gt;_xlfn.XLOOKUP(D232,D233:D$1000,I233:I$1000,0,0,1),(_xlfn.XLOOKUP(D232,D233:D$1000,N233:N$1000,0,0,1)*MAX(1,L232/_xlfn.XLOOKUP(D232,D233:D$1000,L233:L$1000,L232,0,1))*_xlfn.XLOOKUP(D232,D233:D$1000,I233:I$1000,0,0,1)-G232*H232)/I232,_xlfn.XLOOKUP(D232,D233:D$1000,N233:N$1000,,0,1)*MAX(1,L232/_xlfn.XLOOKUP(D232,D233:D$1000,L233:L$1000,,0,1)))</f>
        <v>108.21382375026172</v>
      </c>
      <c r="O232" s="59" cm="1">
        <f t="array" ref="O232">IFERROR(IF(I232&lt;_xlfn.XLOOKUP(D232,D233:D$1000,I233:I$1000,,0,1),G232*H232-_xlfn.XLOOKUP(D232,D233:D$1000,N233:N$1000,,0,1)*-E232*MAX(1,M232/IFERROR(_xlfn.XLOOKUP(D232,D233:D$1000,L233:L$1000,,0,1),M232)),0),0)</f>
        <v>0</v>
      </c>
      <c r="P232" s="56" t="str" cm="1">
        <f t="array" ref="P232">IF(O232&lt;0,1,IF(E232&lt;0, _xlfn.LET(_xlpm.v_cant, ABS(E232), _xlpm.v_fecha, B232, _xlpm.v_ticker, D232, _xlpm.rango_f, B233:B$1000, _xlpm.rango_t, E233:E$1000, _xlpm.filtro, D233:D$1000=_xlpm.v_ticker, _xlpm.c_fechas, _xlfn._xlws.FILTER(_xlpm.rango_f, _xlpm.filtro*(_xlpm.rango_t&gt;0), _xlpm.v_fecha), _xlpm.c_cants, _xlfn._xlws.FILTER(_xlpm.rango_t, _xlpm.filtro*(_xlpm.rango_t&gt;0), 0), _xlpm.v_acums_pasadas, ABS(SUMIFS(E233:E$1000, D233:D$1000, _xlpm.v_ticker, E233:E$1000,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33" spans="1:16" x14ac:dyDescent="0.45">
      <c r="A233" s="3" t="s">
        <v>55</v>
      </c>
      <c r="B233" s="4">
        <f t="shared" si="3"/>
        <v>45741</v>
      </c>
      <c r="C233" s="3" t="s">
        <v>90</v>
      </c>
      <c r="D233" s="3" t="s">
        <v>121</v>
      </c>
      <c r="E233" s="3">
        <v>0.49354819999999999</v>
      </c>
      <c r="F233" s="3">
        <v>7.0987999999999998</v>
      </c>
      <c r="G233" s="3">
        <v>-3.5</v>
      </c>
      <c r="H233" s="5">
        <v>20.0762</v>
      </c>
      <c r="I233" s="8">
        <f>SUMIF(D233:D$1000,D233,E233:E$1000)</f>
        <v>8.9946913500000001</v>
      </c>
      <c r="J233" s="9" cm="1">
        <f t="array" ref="J233">IF(I233&gt;IFERROR(_xlfn.XLOOKUP(D233,D234:D$1000,I234:I$1000,,0,1),0),(IFERROR(_xlfn.XLOOKUP(D233,D234:D$1000,J234:J$1000,,0,1),0)*IFERROR(_xlfn.XLOOKUP(D233,D234:D$1000,I234:I$1000,,0,1),0)-G233*H233)/I233,_xlfn.XLOOKUP(D233,D234:D$1000,J234:J$1000,,0,1))</f>
        <v>95.989953118291268</v>
      </c>
      <c r="K233" s="10" cm="1">
        <f t="array" ref="K233">IFERROR(IF(I233&lt;_xlfn.XLOOKUP(D233,D234:D$1000,I234:I$1000,,0,1),G233*H233-_xlfn.XLOOKUP(D233,D234:D$1000,J234:J$1000,,0,1)*-E233,0),0)</f>
        <v>0</v>
      </c>
      <c r="L233" s="56">
        <v>139.161</v>
      </c>
      <c r="M233" s="58">
        <v>138.726</v>
      </c>
      <c r="N233" s="59" cm="1">
        <f t="array" ref="N233">IF(I233&gt;_xlfn.XLOOKUP(D233,D234:D$1000,I234:I$1000,0,0,1),(_xlfn.XLOOKUP(D233,D234:D$1000,N234:N$1000,0,0,1)*MAX(1,L233/_xlfn.XLOOKUP(D233,D234:D$1000,L234:L$1000,L233,0,1))*_xlfn.XLOOKUP(D233,D234:D$1000,I234:I$1000,0,0,1)-G233*H233)/I233,_xlfn.XLOOKUP(D233,D234:D$1000,N234:N$1000,,0,1)*MAX(1,L233/_xlfn.XLOOKUP(D233,D234:D$1000,L234:L$1000,,0,1)))</f>
        <v>96.764671718022754</v>
      </c>
      <c r="O233" s="59" cm="1">
        <f t="array" ref="O233">IFERROR(IF(I233&lt;_xlfn.XLOOKUP(D233,D234:D$1000,I234:I$1000,,0,1),G233*H233-_xlfn.XLOOKUP(D233,D234:D$1000,N234:N$1000,,0,1)*-E233*MAX(1,M233/IFERROR(_xlfn.XLOOKUP(D233,D234:D$1000,L234:L$1000,,0,1),M233)),0),0)</f>
        <v>0</v>
      </c>
      <c r="P233" s="56" t="str" cm="1">
        <f t="array" ref="P233">IF(O233&lt;0,1,IF(E233&lt;0, _xlfn.LET(_xlpm.v_cant, ABS(E233), _xlpm.v_fecha, B233, _xlpm.v_ticker, D233, _xlpm.rango_f, B234:B$1000, _xlpm.rango_t, E234:E$1000, _xlpm.filtro, D234:D$1000=_xlpm.v_ticker, _xlpm.c_fechas, _xlfn._xlws.FILTER(_xlpm.rango_f, _xlpm.filtro*(_xlpm.rango_t&gt;0), _xlpm.v_fecha), _xlpm.c_cants, _xlfn._xlws.FILTER(_xlpm.rango_t, _xlpm.filtro*(_xlpm.rango_t&gt;0), 0), _xlpm.v_acums_pasadas, ABS(SUMIFS(E234:E$1000, D234:D$1000, _xlpm.v_ticker, E234:E$1000,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34" spans="1:16" x14ac:dyDescent="0.45">
      <c r="A234" s="3" t="s">
        <v>54</v>
      </c>
      <c r="B234" s="4">
        <f t="shared" si="3"/>
        <v>45740</v>
      </c>
      <c r="C234" s="3" t="s">
        <v>90</v>
      </c>
      <c r="D234" s="3" t="s">
        <v>135</v>
      </c>
      <c r="E234" s="3">
        <v>0.20369203999999999</v>
      </c>
      <c r="F234" s="3">
        <v>121.94880000000001</v>
      </c>
      <c r="G234" s="3">
        <v>-24.84</v>
      </c>
      <c r="H234" s="5">
        <v>20.112300000000001</v>
      </c>
      <c r="I234" s="8">
        <f>SUMIF(D234:D$1000,D234,E234:E$1000)</f>
        <v>0.52863022000000004</v>
      </c>
      <c r="J234" s="9" cm="1">
        <f t="array" ref="J234">IF(I234&gt;IFERROR(_xlfn.XLOOKUP(D234,D235:D$1000,I235:I$1000,,0,1),0),(IFERROR(_xlfn.XLOOKUP(D234,D235:D$1000,J235:J$1000,,0,1),0)*IFERROR(_xlfn.XLOOKUP(D234,D235:D$1000,I235:I$1000,,0,1),0)-G234*H234)/I234,_xlfn.XLOOKUP(D234,D235:D$1000,J235:J$1000,,0,1))</f>
        <v>2450.3310158847894</v>
      </c>
      <c r="K234" s="10" cm="1">
        <f t="array" ref="K234">IFERROR(IF(I234&lt;_xlfn.XLOOKUP(D234,D235:D$1000,I235:I$1000,,0,1),G234*H234-_xlfn.XLOOKUP(D234,D235:D$1000,J235:J$1000,,0,1)*-E234,0),0)</f>
        <v>0</v>
      </c>
      <c r="L234" s="56">
        <v>139.161</v>
      </c>
      <c r="M234" s="56">
        <v>138.726</v>
      </c>
      <c r="N234" s="59" cm="1">
        <f t="array" ref="N234">IF(I234&gt;_xlfn.XLOOKUP(D234,D235:D$1000,I235:I$1000,0,0,1),(_xlfn.XLOOKUP(D234,D235:D$1000,N235:N$1000,0,0,1)*MAX(1,L234/_xlfn.XLOOKUP(D234,D235:D$1000,L235:L$1000,L234,0,1))*_xlfn.XLOOKUP(D234,D235:D$1000,I235:I$1000,0,0,1)-G234*H234)/I234,_xlfn.XLOOKUP(D234,D235:D$1000,N235:N$1000,,0,1)*MAX(1,L234/_xlfn.XLOOKUP(D234,D235:D$1000,L235:L$1000,,0,1)))</f>
        <v>2459.2314170588702</v>
      </c>
      <c r="O234" s="59" cm="1">
        <f t="array" ref="O234">IFERROR(IF(I234&lt;_xlfn.XLOOKUP(D234,D235:D$1000,I235:I$1000,,0,1),G234*H234-_xlfn.XLOOKUP(D234,D235:D$1000,N235:N$1000,,0,1)*-E234*MAX(1,M234/IFERROR(_xlfn.XLOOKUP(D234,D235:D$1000,L235:L$1000,,0,1),M234)),0),0)</f>
        <v>0</v>
      </c>
      <c r="P234" s="56" t="str" cm="1">
        <f t="array" ref="P234">IF(O234&lt;0,1,IF(E234&lt;0, _xlfn.LET(_xlpm.v_cant, ABS(E234), _xlpm.v_fecha, B234, _xlpm.v_ticker, D234, _xlpm.rango_f, B235:B$1000, _xlpm.rango_t, E235:E$1000, _xlpm.filtro, D235:D$1000=_xlpm.v_ticker, _xlpm.c_fechas, _xlfn._xlws.FILTER(_xlpm.rango_f, _xlpm.filtro*(_xlpm.rango_t&gt;0), _xlpm.v_fecha), _xlpm.c_cants, _xlfn._xlws.FILTER(_xlpm.rango_t, _xlpm.filtro*(_xlpm.rango_t&gt;0), 0), _xlpm.v_acums_pasadas, ABS(SUMIFS(E235:E$1000, D235:D$1000, _xlpm.v_ticker, E235:E$1000,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35" spans="1:16" x14ac:dyDescent="0.45">
      <c r="A235" s="3" t="s">
        <v>53</v>
      </c>
      <c r="B235" s="4">
        <f t="shared" si="3"/>
        <v>45735</v>
      </c>
      <c r="C235" s="3" t="s">
        <v>91</v>
      </c>
      <c r="D235" s="3" t="s">
        <v>110</v>
      </c>
      <c r="E235" s="3">
        <v>-0.27773996000000001</v>
      </c>
      <c r="F235" s="3">
        <v>67.581199999999995</v>
      </c>
      <c r="G235" s="3">
        <v>18.77</v>
      </c>
      <c r="H235" s="5">
        <v>20.055299999999999</v>
      </c>
      <c r="I235" s="8">
        <f>SUMIF(D235:D$1000,D235,E235:E$1000)</f>
        <v>0.27758172000000003</v>
      </c>
      <c r="J235" s="9" cm="1">
        <f t="array" ref="J235">IF(I235&gt;IFERROR(_xlfn.XLOOKUP(D235,D236:D$1000,I236:I$1000,,0,1),0),(IFERROR(_xlfn.XLOOKUP(D235,D236:D$1000,J236:J$1000,,0,1),0)*IFERROR(_xlfn.XLOOKUP(D235,D236:D$1000,I236:I$1000,,0,1),0)-G235*H235)/I235,_xlfn.XLOOKUP(D235,D236:D$1000,J236:J$1000,,0,1))</f>
        <v>897.79819149146124</v>
      </c>
      <c r="K235" s="10" cm="1">
        <f t="array" ref="K235">IFERROR(IF(I235&lt;_xlfn.XLOOKUP(D235,D236:D$1000,I236:I$1000,,0,1),G235*H235-_xlfn.XLOOKUP(D235,D236:D$1000,J236:J$1000,,0,1)*-E235,0),0)</f>
        <v>127.0835472070892</v>
      </c>
      <c r="L235" s="56">
        <v>139.161</v>
      </c>
      <c r="M235" s="56">
        <v>138.726</v>
      </c>
      <c r="N235" s="59" cm="1">
        <f t="array" ref="N235">IF(I235&gt;_xlfn.XLOOKUP(D235,D236:D$1000,I236:I$1000,0,0,1),(_xlfn.XLOOKUP(D235,D236:D$1000,N236:N$1000,0,0,1)*MAX(1,L235/_xlfn.XLOOKUP(D235,D236:D$1000,L236:L$1000,L235,0,1))*_xlfn.XLOOKUP(D235,D236:D$1000,I236:I$1000,0,0,1)-G235*H235)/I235,_xlfn.XLOOKUP(D235,D236:D$1000,N236:N$1000,,0,1)*MAX(1,L235/_xlfn.XLOOKUP(D235,D236:D$1000,L236:L$1000,,0,1)))</f>
        <v>905.68611679782555</v>
      </c>
      <c r="O235" s="59" cm="1">
        <f t="array" ref="O235">IFERROR(IF(I235&lt;_xlfn.XLOOKUP(D235,D236:D$1000,I236:I$1000,,0,1),G235*H235-_xlfn.XLOOKUP(D235,D236:D$1000,N236:N$1000,,0,1)*-E235*MAX(1,M235/IFERROR(_xlfn.XLOOKUP(D235,D236:D$1000,L236:L$1000,,0,1),M235)),0),0)</f>
        <v>125.67905427812929</v>
      </c>
      <c r="P235" s="56" cm="1">
        <f t="array" ref="P235">IF(O235&lt;0,1,IF(E235&lt;0, _xlfn.LET(_xlpm.v_cant, ABS(E235), _xlpm.v_fecha, B235, _xlpm.v_ticker, D235, _xlpm.rango_f, B236:B$1000, _xlpm.rango_t, E236:E$1000, _xlpm.filtro, D236:D$1000=_xlpm.v_ticker, _xlpm.c_fechas, _xlfn._xlws.FILTER(_xlpm.rango_f, _xlpm.filtro*(_xlpm.rango_t&gt;0), _xlpm.v_fecha), _xlpm.c_cants, _xlfn._xlws.FILTER(_xlpm.rango_t, _xlpm.filtro*(_xlpm.rango_t&gt;0), 0), _xlpm.v_acums_pasadas, ABS(SUMIFS(E236:E$1000, D236:D$1000, _xlpm.v_ticker, E236:E$1000,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36" spans="1:16" x14ac:dyDescent="0.45">
      <c r="A236" s="3" t="s">
        <v>53</v>
      </c>
      <c r="B236" s="4">
        <f t="shared" si="3"/>
        <v>45735</v>
      </c>
      <c r="C236" s="3" t="s">
        <v>91</v>
      </c>
      <c r="D236" s="3" t="s">
        <v>125</v>
      </c>
      <c r="E236" s="3">
        <v>-0.45821313000000002</v>
      </c>
      <c r="F236" s="3">
        <v>18.441199999999998</v>
      </c>
      <c r="G236" s="3">
        <v>8.4499999999999993</v>
      </c>
      <c r="H236" s="5">
        <v>20.055299999999999</v>
      </c>
      <c r="I236" s="8">
        <f>SUMIF(D236:D$1000,D236,E236:E$1000)</f>
        <v>4.1182295300000007</v>
      </c>
      <c r="J236" s="9" cm="1">
        <f t="array" ref="J236">IF(I236&gt;IFERROR(_xlfn.XLOOKUP(D236,D237:D$1000,I237:I$1000,,0,1),0),(IFERROR(_xlfn.XLOOKUP(D236,D237:D$1000,J237:J$1000,,0,1),0)*IFERROR(_xlfn.XLOOKUP(D236,D237:D$1000,I237:I$1000,,0,1),0)-G236*H236)/I236,_xlfn.XLOOKUP(D236,D237:D$1000,J237:J$1000,,0,1))</f>
        <v>229.57540519037119</v>
      </c>
      <c r="K236" s="10" cm="1">
        <f t="array" ref="K236">IFERROR(IF(I236&lt;_xlfn.XLOOKUP(D236,D237:D$1000,I237:I$1000,,0,1),G236*H236-_xlfn.XLOOKUP(D236,D237:D$1000,J237:J$1000,,0,1)*-E236,0),0)</f>
        <v>64.272820016701743</v>
      </c>
      <c r="L236" s="56">
        <v>139.161</v>
      </c>
      <c r="M236" s="56">
        <v>138.726</v>
      </c>
      <c r="N236" s="59" cm="1">
        <f t="array" ref="N236">IF(I236&gt;_xlfn.XLOOKUP(D236,D237:D$1000,I237:I$1000,0,0,1),(_xlfn.XLOOKUP(D236,D237:D$1000,N237:N$1000,0,0,1)*MAX(1,L236/_xlfn.XLOOKUP(D236,D237:D$1000,L237:L$1000,L236,0,1))*_xlfn.XLOOKUP(D236,D237:D$1000,I237:I$1000,0,0,1)-G236*H236)/I236,_xlfn.XLOOKUP(D236,D237:D$1000,N237:N$1000,,0,1)*MAX(1,L236/_xlfn.XLOOKUP(D236,D237:D$1000,L237:L$1000,,0,1)))</f>
        <v>236.31871809570532</v>
      </c>
      <c r="O236" s="59" cm="1">
        <f t="array" ref="O236">IFERROR(IF(I236&lt;_xlfn.XLOOKUP(D236,D237:D$1000,I237:I$1000,,0,1),G236*H236-_xlfn.XLOOKUP(D236,D237:D$1000,N237:N$1000,,0,1)*-E236*MAX(1,M236/IFERROR(_xlfn.XLOOKUP(D236,D237:D$1000,L237:L$1000,,0,1),M236)),0),0)</f>
        <v>61.521428898414584</v>
      </c>
      <c r="P236" s="56" cm="1">
        <f t="array" ref="P236">IF(O236&lt;0,1,IF(E236&lt;0, _xlfn.LET(_xlpm.v_cant, ABS(E236), _xlpm.v_fecha, B236, _xlpm.v_ticker, D236, _xlpm.rango_f, B237:B$1000, _xlpm.rango_t, E237:E$1000, _xlpm.filtro, D237:D$1000=_xlpm.v_ticker, _xlpm.c_fechas, _xlfn._xlws.FILTER(_xlpm.rango_f, _xlpm.filtro*(_xlpm.rango_t&gt;0), _xlpm.v_fecha), _xlpm.c_cants, _xlfn._xlws.FILTER(_xlpm.rango_t, _xlpm.filtro*(_xlpm.rango_t&gt;0), 0), _xlpm.v_acums_pasadas, ABS(SUMIFS(E237:E$1000, D237:D$1000, _xlpm.v_ticker, E237:E$1000,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237" spans="1:16" x14ac:dyDescent="0.45">
      <c r="A237" s="3" t="s">
        <v>53</v>
      </c>
      <c r="B237" s="4">
        <f t="shared" si="3"/>
        <v>45735</v>
      </c>
      <c r="C237" s="3" t="s">
        <v>90</v>
      </c>
      <c r="D237" s="3" t="s">
        <v>131</v>
      </c>
      <c r="E237" s="3">
        <v>1</v>
      </c>
      <c r="F237" s="3">
        <v>20.7788</v>
      </c>
      <c r="G237" s="3">
        <v>-20.78</v>
      </c>
      <c r="H237" s="5">
        <v>20.055299999999999</v>
      </c>
      <c r="I237" s="8">
        <f>SUMIF(D237:D$1000,D237,E237:E$1000)</f>
        <v>1.0785030799999999</v>
      </c>
      <c r="J237" s="9" cm="1">
        <f t="array" ref="J237">IF(I237&gt;IFERROR(_xlfn.XLOOKUP(D237,D238:D$1000,I238:I$1000,,0,1),0),(IFERROR(_xlfn.XLOOKUP(D237,D238:D$1000,J238:J$1000,,0,1),0)*IFERROR(_xlfn.XLOOKUP(D237,D238:D$1000,I238:I$1000,,0,1),0)-G237*H237)/I237,_xlfn.XLOOKUP(D237,D238:D$1000,J238:J$1000,,0,1))</f>
        <v>416.72507138319907</v>
      </c>
      <c r="K237" s="10" cm="1">
        <f t="array" ref="K237">IFERROR(IF(I237&lt;_xlfn.XLOOKUP(D237,D238:D$1000,I238:I$1000,,0,1),G237*H237-_xlfn.XLOOKUP(D237,D238:D$1000,J238:J$1000,,0,1)*-E237,0),0)</f>
        <v>0</v>
      </c>
      <c r="L237" s="56">
        <v>139.161</v>
      </c>
      <c r="M237" s="56">
        <v>138.726</v>
      </c>
      <c r="N237" s="59" cm="1">
        <f t="array" ref="N237">IF(I237&gt;_xlfn.XLOOKUP(D237,D238:D$1000,I238:I$1000,0,0,1),(_xlfn.XLOOKUP(D237,D238:D$1000,N238:N$1000,0,0,1)*MAX(1,L237/_xlfn.XLOOKUP(D237,D238:D$1000,L238:L$1000,L237,0,1))*_xlfn.XLOOKUP(D237,D238:D$1000,I238:I$1000,0,0,1)-G237*H237)/I237,_xlfn.XLOOKUP(D237,D238:D$1000,N238:N$1000,,0,1)*MAX(1,L237/_xlfn.XLOOKUP(D237,D238:D$1000,L238:L$1000,,0,1)))</f>
        <v>416.72507138319907</v>
      </c>
      <c r="O237" s="59" cm="1">
        <f t="array" ref="O237">IFERROR(IF(I237&lt;_xlfn.XLOOKUP(D237,D238:D$1000,I238:I$1000,,0,1),G237*H237-_xlfn.XLOOKUP(D237,D238:D$1000,N238:N$1000,,0,1)*-E237*MAX(1,M237/IFERROR(_xlfn.XLOOKUP(D237,D238:D$1000,L238:L$1000,,0,1),M237)),0),0)</f>
        <v>0</v>
      </c>
      <c r="P237" s="56" t="str" cm="1">
        <f t="array" ref="P237">IF(O237&lt;0,1,IF(E237&lt;0, _xlfn.LET(_xlpm.v_cant, ABS(E237), _xlpm.v_fecha, B237, _xlpm.v_ticker, D237, _xlpm.rango_f, B238:B$1000, _xlpm.rango_t, E238:E$1000, _xlpm.filtro, D238:D$1000=_xlpm.v_ticker, _xlpm.c_fechas, _xlfn._xlws.FILTER(_xlpm.rango_f, _xlpm.filtro*(_xlpm.rango_t&gt;0), _xlpm.v_fecha), _xlpm.c_cants, _xlfn._xlws.FILTER(_xlpm.rango_t, _xlpm.filtro*(_xlpm.rango_t&gt;0), 0), _xlpm.v_acums_pasadas, ABS(SUMIFS(E238:E$1000, D238:D$1000, _xlpm.v_ticker, E238:E$1000,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38" spans="1:16" x14ac:dyDescent="0.45">
      <c r="A238" s="3" t="s">
        <v>53</v>
      </c>
      <c r="B238" s="4">
        <f t="shared" si="3"/>
        <v>45735</v>
      </c>
      <c r="C238" s="3" t="s">
        <v>90</v>
      </c>
      <c r="D238" s="3" t="s">
        <v>131</v>
      </c>
      <c r="E238" s="3">
        <v>7.8503080000000003E-2</v>
      </c>
      <c r="F238" s="3">
        <v>20.7788</v>
      </c>
      <c r="G238" s="3">
        <v>-1.63</v>
      </c>
      <c r="H238" s="5">
        <v>20.055299999999999</v>
      </c>
      <c r="I238" s="8">
        <f>SUMIF(D238:D$1000,D238,E238:E$1000)</f>
        <v>7.8503080000000003E-2</v>
      </c>
      <c r="J238" s="9" cm="1">
        <f t="array" ref="J238">IF(I238&gt;IFERROR(_xlfn.XLOOKUP(D238,D239:D$1000,I239:I$1000,,0,1),0),(IFERROR(_xlfn.XLOOKUP(D238,D239:D$1000,J239:J$1000,,0,1),0)*IFERROR(_xlfn.XLOOKUP(D238,D239:D$1000,I239:I$1000,,0,1),0)-G238*H238)/I238,_xlfn.XLOOKUP(D238,D239:D$1000,J239:J$1000,,0,1))</f>
        <v>416.41855325931152</v>
      </c>
      <c r="K238" s="10" cm="1">
        <f t="array" ref="K238">IFERROR(IF(I238&lt;_xlfn.XLOOKUP(D238,D239:D$1000,I239:I$1000,,0,1),G238*H238-_xlfn.XLOOKUP(D238,D239:D$1000,J239:J$1000,,0,1)*-E238,0),0)</f>
        <v>0</v>
      </c>
      <c r="L238" s="56">
        <v>139.161</v>
      </c>
      <c r="M238" s="56">
        <v>138.726</v>
      </c>
      <c r="N238" s="59" cm="1">
        <f t="array" ref="N238">IF(I238&gt;_xlfn.XLOOKUP(D238,D239:D$1000,I239:I$1000,0,0,1),(_xlfn.XLOOKUP(D238,D239:D$1000,N239:N$1000,0,0,1)*MAX(1,L238/_xlfn.XLOOKUP(D238,D239:D$1000,L239:L$1000,L238,0,1))*_xlfn.XLOOKUP(D238,D239:D$1000,I239:I$1000,0,0,1)-G238*H238)/I238,_xlfn.XLOOKUP(D238,D239:D$1000,N239:N$1000,,0,1)*MAX(1,L238/_xlfn.XLOOKUP(D238,D239:D$1000,L239:L$1000,,0,1)))</f>
        <v>416.41855325931152</v>
      </c>
      <c r="O238" s="59" cm="1">
        <f t="array" ref="O238">IFERROR(IF(I238&lt;_xlfn.XLOOKUP(D238,D239:D$1000,I239:I$1000,,0,1),G238*H238-_xlfn.XLOOKUP(D238,D239:D$1000,N239:N$1000,,0,1)*-E238*MAX(1,M238/IFERROR(_xlfn.XLOOKUP(D238,D239:D$1000,L239:L$1000,,0,1),M238)),0),0)</f>
        <v>0</v>
      </c>
      <c r="P238" s="56" t="str" cm="1">
        <f t="array" ref="P238">IF(O238&lt;0,1,IF(E238&lt;0, _xlfn.LET(_xlpm.v_cant, ABS(E238), _xlpm.v_fecha, B238, _xlpm.v_ticker, D238, _xlpm.rango_f, B239:B$1000, _xlpm.rango_t, E239:E$1000, _xlpm.filtro, D239:D$1000=_xlpm.v_ticker, _xlpm.c_fechas, _xlfn._xlws.FILTER(_xlpm.rango_f, _xlpm.filtro*(_xlpm.rango_t&gt;0), _xlpm.v_fecha), _xlpm.c_cants, _xlfn._xlws.FILTER(_xlpm.rango_t, _xlpm.filtro*(_xlpm.rango_t&gt;0), 0), _xlpm.v_acums_pasadas, ABS(SUMIFS(E239:E$1000, D239:D$1000, _xlpm.v_ticker, E239:E$1000,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39" spans="1:16" x14ac:dyDescent="0.45">
      <c r="A239" s="3" t="s">
        <v>42</v>
      </c>
      <c r="B239" s="4">
        <f t="shared" si="3"/>
        <v>45692</v>
      </c>
      <c r="C239" s="3" t="s">
        <v>90</v>
      </c>
      <c r="D239" s="3" t="s">
        <v>132</v>
      </c>
      <c r="E239" s="3">
        <v>1</v>
      </c>
      <c r="F239" s="3">
        <v>30.044</v>
      </c>
      <c r="G239" s="3">
        <v>-30.04</v>
      </c>
      <c r="H239" s="5">
        <v>20.4268</v>
      </c>
      <c r="I239" s="8">
        <f>SUMIF(D239:D$1000,D239,E239:E$1000)</f>
        <v>1.0048595300000001</v>
      </c>
      <c r="J239" s="9" cm="1">
        <f t="array" ref="J239">IF(I239&gt;IFERROR(_xlfn.XLOOKUP(D239,D240:D$1000,I240:I$1000,,0,1),0),(IFERROR(_xlfn.XLOOKUP(D239,D240:D$1000,J240:J$1000,,0,1),0)*IFERROR(_xlfn.XLOOKUP(D239,D240:D$1000,I240:I$1000,,0,1),0)-G239*H239)/I239,_xlfn.XLOOKUP(D239,D240:D$1000,J240:J$1000,,0,1))</f>
        <v>613.70278490566739</v>
      </c>
      <c r="K239" s="10" cm="1">
        <f t="array" ref="K239">IFERROR(IF(I239&lt;_xlfn.XLOOKUP(D239,D240:D$1000,I240:I$1000,,0,1),G239*H239-_xlfn.XLOOKUP(D239,D240:D$1000,J240:J$1000,,0,1)*-E239,0),0)</f>
        <v>0</v>
      </c>
      <c r="L239" s="56">
        <v>138.726</v>
      </c>
      <c r="M239" s="56">
        <v>138.34299999999999</v>
      </c>
      <c r="N239" s="59" cm="1">
        <f t="array" ref="N239">IF(I239&gt;_xlfn.XLOOKUP(D239,D240:D$1000,I240:I$1000,0,0,1),(_xlfn.XLOOKUP(D239,D240:D$1000,N240:N$1000,0,0,1)*MAX(1,L239/_xlfn.XLOOKUP(D239,D240:D$1000,L240:L$1000,L239,0,1))*_xlfn.XLOOKUP(D239,D240:D$1000,I240:I$1000,0,0,1)-G239*H239)/I239,_xlfn.XLOOKUP(D239,D240:D$1000,N240:N$1000,,0,1)*MAX(1,L239/_xlfn.XLOOKUP(D239,D240:D$1000,L240:L$1000,,0,1)))</f>
        <v>613.70278490566739</v>
      </c>
      <c r="O239" s="59" cm="1">
        <f t="array" ref="O239">IFERROR(IF(I239&lt;_xlfn.XLOOKUP(D239,D240:D$1000,I240:I$1000,,0,1),G239*H239-_xlfn.XLOOKUP(D239,D240:D$1000,N240:N$1000,,0,1)*-E239*MAX(1,M239/IFERROR(_xlfn.XLOOKUP(D239,D240:D$1000,L240:L$1000,,0,1),M239)),0),0)</f>
        <v>0</v>
      </c>
      <c r="P239" s="56" t="str" cm="1">
        <f t="array" ref="P239">IF(O239&lt;0,1,IF(E239&lt;0, _xlfn.LET(_xlpm.v_cant, ABS(E239), _xlpm.v_fecha, B239, _xlpm.v_ticker, D239, _xlpm.rango_f, B240:B$1000, _xlpm.rango_t, E240:E$1000, _xlpm.filtro, D240:D$1000=_xlpm.v_ticker, _xlpm.c_fechas, _xlfn._xlws.FILTER(_xlpm.rango_f, _xlpm.filtro*(_xlpm.rango_t&gt;0), _xlpm.v_fecha), _xlpm.c_cants, _xlfn._xlws.FILTER(_xlpm.rango_t, _xlpm.filtro*(_xlpm.rango_t&gt;0), 0), _xlpm.v_acums_pasadas, ABS(SUMIFS(E240:E$1000, D240:D$1000, _xlpm.v_ticker, E240:E$1000,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0" spans="1:16" x14ac:dyDescent="0.45">
      <c r="A240" s="3" t="s">
        <v>42</v>
      </c>
      <c r="B240" s="4">
        <f t="shared" si="3"/>
        <v>45692</v>
      </c>
      <c r="C240" s="3" t="s">
        <v>90</v>
      </c>
      <c r="D240" s="3" t="s">
        <v>132</v>
      </c>
      <c r="E240" s="3">
        <v>4.8595299999999999E-3</v>
      </c>
      <c r="F240" s="3">
        <v>30.044</v>
      </c>
      <c r="G240" s="3">
        <v>-0.15</v>
      </c>
      <c r="H240" s="5">
        <v>20.4268</v>
      </c>
      <c r="I240" s="8">
        <f>SUMIF(D240:D$1000,D240,E240:E$1000)</f>
        <v>4.8595299999999999E-3</v>
      </c>
      <c r="J240" s="9" cm="1">
        <f t="array" ref="J240">IF(I240&gt;IFERROR(_xlfn.XLOOKUP(D240,D241:D$1000,I241:I$1000,,0,1),0),(IFERROR(_xlfn.XLOOKUP(D240,D241:D$1000,J241:J$1000,,0,1),0)*IFERROR(_xlfn.XLOOKUP(D240,D241:D$1000,I241:I$1000,,0,1),0)-G240*H240)/I240,_xlfn.XLOOKUP(D240,D241:D$1000,J241:J$1000,,0,1))</f>
        <v>630.51776612141498</v>
      </c>
      <c r="K240" s="10" cm="1">
        <f t="array" ref="K240">IFERROR(IF(I240&lt;_xlfn.XLOOKUP(D240,D241:D$1000,I241:I$1000,,0,1),G240*H240-_xlfn.XLOOKUP(D240,D241:D$1000,J241:J$1000,,0,1)*-E240,0),0)</f>
        <v>0</v>
      </c>
      <c r="L240" s="56">
        <v>138.726</v>
      </c>
      <c r="M240" s="56">
        <v>138.34299999999999</v>
      </c>
      <c r="N240" s="59" cm="1">
        <f t="array" ref="N240">IF(I240&gt;_xlfn.XLOOKUP(D240,D241:D$1000,I241:I$1000,0,0,1),(_xlfn.XLOOKUP(D240,D241:D$1000,N241:N$1000,0,0,1)*MAX(1,L240/_xlfn.XLOOKUP(D240,D241:D$1000,L241:L$1000,L240,0,1))*_xlfn.XLOOKUP(D240,D241:D$1000,I241:I$1000,0,0,1)-G240*H240)/I240,_xlfn.XLOOKUP(D240,D241:D$1000,N241:N$1000,,0,1)*MAX(1,L240/_xlfn.XLOOKUP(D240,D241:D$1000,L241:L$1000,,0,1)))</f>
        <v>630.51776612141498</v>
      </c>
      <c r="O240" s="59" cm="1">
        <f t="array" ref="O240">IFERROR(IF(I240&lt;_xlfn.XLOOKUP(D240,D241:D$1000,I241:I$1000,,0,1),G240*H240-_xlfn.XLOOKUP(D240,D241:D$1000,N241:N$1000,,0,1)*-E240*MAX(1,M240/IFERROR(_xlfn.XLOOKUP(D240,D241:D$1000,L241:L$1000,,0,1),M240)),0),0)</f>
        <v>0</v>
      </c>
      <c r="P240" s="56" t="str" cm="1">
        <f t="array" ref="P240">IF(O240&lt;0,1,IF(E240&lt;0, _xlfn.LET(_xlpm.v_cant, ABS(E240), _xlpm.v_fecha, B240, _xlpm.v_ticker, D240, _xlpm.rango_f, B241:B$1000, _xlpm.rango_t, E241:E$1000, _xlpm.filtro, D241:D$1000=_xlpm.v_ticker, _xlpm.c_fechas, _xlfn._xlws.FILTER(_xlpm.rango_f, _xlpm.filtro*(_xlpm.rango_t&gt;0), _xlpm.v_fecha), _xlpm.c_cants, _xlfn._xlws.FILTER(_xlpm.rango_t, _xlpm.filtro*(_xlpm.rango_t&gt;0), 0), _xlpm.v_acums_pasadas, ABS(SUMIFS(E241:E$1000, D241:D$1000, _xlpm.v_ticker, E241:E$1000,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1" spans="1:16" x14ac:dyDescent="0.45">
      <c r="A241" s="3" t="s">
        <v>42</v>
      </c>
      <c r="B241" s="4">
        <f t="shared" si="3"/>
        <v>45692</v>
      </c>
      <c r="C241" s="3" t="s">
        <v>90</v>
      </c>
      <c r="D241" s="3" t="s">
        <v>153</v>
      </c>
      <c r="E241" s="3">
        <v>3</v>
      </c>
      <c r="F241" s="3">
        <v>2.5575999999999999</v>
      </c>
      <c r="G241" s="3">
        <v>-7.67</v>
      </c>
      <c r="H241" s="5">
        <v>20.4268</v>
      </c>
      <c r="I241" s="8">
        <f>SUMIF(D241:D$1000,D241,E241:E$1000)</f>
        <v>3.8043478200000003</v>
      </c>
      <c r="J241" s="9" cm="1">
        <f t="array" ref="J241">IF(I241&gt;IFERROR(_xlfn.XLOOKUP(D241,D242:D$1000,I242:I$1000,,0,1),0),(IFERROR(_xlfn.XLOOKUP(D241,D242:D$1000,J242:J$1000,,0,1),0)*IFERROR(_xlfn.XLOOKUP(D241,D242:D$1000,I242:I$1000,,0,1),0)-G241*H241)/I241,_xlfn.XLOOKUP(D241,D242:D$1000,J242:J$1000,,0,1))</f>
        <v>52.243583763589726</v>
      </c>
      <c r="K241" s="10" cm="1">
        <f t="array" ref="K241">IFERROR(IF(I241&lt;_xlfn.XLOOKUP(D241,D242:D$1000,I242:I$1000,,0,1),G241*H241-_xlfn.XLOOKUP(D241,D242:D$1000,J242:J$1000,,0,1)*-E241,0),0)</f>
        <v>0</v>
      </c>
      <c r="L241" s="56">
        <v>138.726</v>
      </c>
      <c r="M241" s="56">
        <v>138.34299999999999</v>
      </c>
      <c r="N241" s="59" cm="1">
        <f t="array" ref="N241">IF(I241&gt;_xlfn.XLOOKUP(D241,D242:D$1000,I242:I$1000,0,0,1),(_xlfn.XLOOKUP(D241,D242:D$1000,N242:N$1000,0,0,1)*MAX(1,L241/_xlfn.XLOOKUP(D241,D242:D$1000,L242:L$1000,L241,0,1))*_xlfn.XLOOKUP(D241,D242:D$1000,I242:I$1000,0,0,1)-G241*H241)/I241,_xlfn.XLOOKUP(D241,D242:D$1000,N242:N$1000,,0,1)*MAX(1,L241/_xlfn.XLOOKUP(D241,D242:D$1000,L242:L$1000,,0,1)))</f>
        <v>52.243583763589726</v>
      </c>
      <c r="O241" s="59" cm="1">
        <f t="array" ref="O241">IFERROR(IF(I241&lt;_xlfn.XLOOKUP(D241,D242:D$1000,I242:I$1000,,0,1),G241*H241-_xlfn.XLOOKUP(D241,D242:D$1000,N242:N$1000,,0,1)*-E241*MAX(1,M241/IFERROR(_xlfn.XLOOKUP(D241,D242:D$1000,L242:L$1000,,0,1),M241)),0),0)</f>
        <v>0</v>
      </c>
      <c r="P241" s="56" t="str" cm="1">
        <f t="array" ref="P241">IF(O241&lt;0,1,IF(E241&lt;0, _xlfn.LET(_xlpm.v_cant, ABS(E241), _xlpm.v_fecha, B241, _xlpm.v_ticker, D241, _xlpm.rango_f, B242:B$1000, _xlpm.rango_t, E242:E$1000, _xlpm.filtro, D242:D$1000=_xlpm.v_ticker, _xlpm.c_fechas, _xlfn._xlws.FILTER(_xlpm.rango_f, _xlpm.filtro*(_xlpm.rango_t&gt;0), _xlpm.v_fecha), _xlpm.c_cants, _xlfn._xlws.FILTER(_xlpm.rango_t, _xlpm.filtro*(_xlpm.rango_t&gt;0), 0), _xlpm.v_acums_pasadas, ABS(SUMIFS(E242:E$1000, D242:D$1000, _xlpm.v_ticker, E242:E$1000,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2" spans="1:16" x14ac:dyDescent="0.45">
      <c r="A242" s="3" t="s">
        <v>42</v>
      </c>
      <c r="B242" s="4">
        <f t="shared" si="3"/>
        <v>45692</v>
      </c>
      <c r="C242" s="3" t="s">
        <v>90</v>
      </c>
      <c r="D242" s="3" t="s">
        <v>153</v>
      </c>
      <c r="E242" s="3">
        <v>0.80434782000000005</v>
      </c>
      <c r="F242" s="3">
        <v>2.5575999999999999</v>
      </c>
      <c r="G242" s="3">
        <v>-2.06</v>
      </c>
      <c r="H242" s="5">
        <v>20.4268</v>
      </c>
      <c r="I242" s="8">
        <f>SUMIF(D242:D$1000,D242,E242:E$1000)</f>
        <v>0.80434782000000005</v>
      </c>
      <c r="J242" s="9" cm="1">
        <f t="array" ref="J242">IF(I242&gt;IFERROR(_xlfn.XLOOKUP(D242,D243:D$1000,I243:I$1000,,0,1),0),(IFERROR(_xlfn.XLOOKUP(D242,D243:D$1000,J243:J$1000,,0,1),0)*IFERROR(_xlfn.XLOOKUP(D242,D243:D$1000,I243:I$1000,,0,1),0)-G242*H242)/I242,_xlfn.XLOOKUP(D242,D243:D$1000,J243:J$1000,,0,1))</f>
        <v>52.314691422921989</v>
      </c>
      <c r="K242" s="10" cm="1">
        <f t="array" ref="K242">IFERROR(IF(I242&lt;_xlfn.XLOOKUP(D242,D243:D$1000,I243:I$1000,,0,1),G242*H242-_xlfn.XLOOKUP(D242,D243:D$1000,J243:J$1000,,0,1)*-E242,0),0)</f>
        <v>0</v>
      </c>
      <c r="L242" s="56">
        <v>138.726</v>
      </c>
      <c r="M242" s="56">
        <v>138.34299999999999</v>
      </c>
      <c r="N242" s="59" cm="1">
        <f t="array" ref="N242">IF(I242&gt;_xlfn.XLOOKUP(D242,D243:D$1000,I243:I$1000,0,0,1),(_xlfn.XLOOKUP(D242,D243:D$1000,N243:N$1000,0,0,1)*MAX(1,L242/_xlfn.XLOOKUP(D242,D243:D$1000,L243:L$1000,L242,0,1))*_xlfn.XLOOKUP(D242,D243:D$1000,I243:I$1000,0,0,1)-G242*H242)/I242,_xlfn.XLOOKUP(D242,D243:D$1000,N243:N$1000,,0,1)*MAX(1,L242/_xlfn.XLOOKUP(D242,D243:D$1000,L243:L$1000,,0,1)))</f>
        <v>52.314691422921989</v>
      </c>
      <c r="O242" s="59" cm="1">
        <f t="array" ref="O242">IFERROR(IF(I242&lt;_xlfn.XLOOKUP(D242,D243:D$1000,I243:I$1000,,0,1),G242*H242-_xlfn.XLOOKUP(D242,D243:D$1000,N243:N$1000,,0,1)*-E242*MAX(1,M242/IFERROR(_xlfn.XLOOKUP(D242,D243:D$1000,L243:L$1000,,0,1),M242)),0),0)</f>
        <v>0</v>
      </c>
      <c r="P242" s="56" t="str" cm="1">
        <f t="array" ref="P242">IF(O242&lt;0,1,IF(E242&lt;0, _xlfn.LET(_xlpm.v_cant, ABS(E242), _xlpm.v_fecha, B242, _xlpm.v_ticker, D242, _xlpm.rango_f, B243:B$1000, _xlpm.rango_t, E243:E$1000, _xlpm.filtro, D243:D$1000=_xlpm.v_ticker, _xlpm.c_fechas, _xlfn._xlws.FILTER(_xlpm.rango_f, _xlpm.filtro*(_xlpm.rango_t&gt;0), _xlpm.v_fecha), _xlpm.c_cants, _xlfn._xlws.FILTER(_xlpm.rango_t, _xlpm.filtro*(_xlpm.rango_t&gt;0), 0), _xlpm.v_acums_pasadas, ABS(SUMIFS(E243:E$1000, D243:D$1000, _xlpm.v_ticker, E243:E$1000,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3" spans="1:16" x14ac:dyDescent="0.45">
      <c r="A243" s="3" t="s">
        <v>42</v>
      </c>
      <c r="B243" s="4">
        <f t="shared" si="3"/>
        <v>45692</v>
      </c>
      <c r="C243" s="3" t="s">
        <v>90</v>
      </c>
      <c r="D243" s="3" t="s">
        <v>158</v>
      </c>
      <c r="E243" s="3">
        <v>0.50959721000000002</v>
      </c>
      <c r="F243" s="3">
        <v>24.5488</v>
      </c>
      <c r="G243" s="3">
        <v>-12.51</v>
      </c>
      <c r="H243" s="5">
        <v>20.4268</v>
      </c>
      <c r="I243" s="8">
        <f>SUMIF(D243:D$1000,D243,E243:E$1000)</f>
        <v>0.50959721000000002</v>
      </c>
      <c r="J243" s="9" cm="1">
        <f t="array" ref="J243">IF(I243&gt;IFERROR(_xlfn.XLOOKUP(D243,D244:D$1000,I244:I$1000,,0,1),0),(IFERROR(_xlfn.XLOOKUP(D243,D244:D$1000,J244:J$1000,,0,1),0)*IFERROR(_xlfn.XLOOKUP(D243,D244:D$1000,I244:I$1000,,0,1),0)-G243*H243)/I243,_xlfn.XLOOKUP(D243,D244:D$1000,J244:J$1000,,0,1))</f>
        <v>501.45342828701905</v>
      </c>
      <c r="K243" s="10" cm="1">
        <f t="array" ref="K243">IFERROR(IF(I243&lt;_xlfn.XLOOKUP(D243,D244:D$1000,I244:I$1000,,0,1),G243*H243-_xlfn.XLOOKUP(D243,D244:D$1000,J244:J$1000,,0,1)*-E243,0),0)</f>
        <v>0</v>
      </c>
      <c r="L243" s="56">
        <v>138.726</v>
      </c>
      <c r="M243" s="56">
        <v>138.34299999999999</v>
      </c>
      <c r="N243" s="59" cm="1">
        <f t="array" ref="N243">IF(I243&gt;_xlfn.XLOOKUP(D243,D244:D$1000,I244:I$1000,0,0,1),(_xlfn.XLOOKUP(D243,D244:D$1000,N244:N$1000,0,0,1)*MAX(1,L243/_xlfn.XLOOKUP(D243,D244:D$1000,L244:L$1000,L243,0,1))*_xlfn.XLOOKUP(D243,D244:D$1000,I244:I$1000,0,0,1)-G243*H243)/I243,_xlfn.XLOOKUP(D243,D244:D$1000,N244:N$1000,,0,1)*MAX(1,L243/_xlfn.XLOOKUP(D243,D244:D$1000,L244:L$1000,,0,1)))</f>
        <v>501.45342828701905</v>
      </c>
      <c r="O243" s="59" cm="1">
        <f t="array" ref="O243">IFERROR(IF(I243&lt;_xlfn.XLOOKUP(D243,D244:D$1000,I244:I$1000,,0,1),G243*H243-_xlfn.XLOOKUP(D243,D244:D$1000,N244:N$1000,,0,1)*-E243*MAX(1,M243/IFERROR(_xlfn.XLOOKUP(D243,D244:D$1000,L244:L$1000,,0,1),M243)),0),0)</f>
        <v>0</v>
      </c>
      <c r="P243" s="56" t="str" cm="1">
        <f t="array" ref="P243">IF(O243&lt;0,1,IF(E243&lt;0, _xlfn.LET(_xlpm.v_cant, ABS(E243), _xlpm.v_fecha, B243, _xlpm.v_ticker, D243, _xlpm.rango_f, B244:B$1000, _xlpm.rango_t, E244:E$1000, _xlpm.filtro, D244:D$1000=_xlpm.v_ticker, _xlpm.c_fechas, _xlfn._xlws.FILTER(_xlpm.rango_f, _xlpm.filtro*(_xlpm.rango_t&gt;0), _xlpm.v_fecha), _xlpm.c_cants, _xlfn._xlws.FILTER(_xlpm.rango_t, _xlpm.filtro*(_xlpm.rango_t&gt;0), 0), _xlpm.v_acums_pasadas, ABS(SUMIFS(E244:E$1000, D244:D$1000, _xlpm.v_ticker, E244:E$1000,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4" spans="1:16" x14ac:dyDescent="0.45">
      <c r="A244" s="3" t="s">
        <v>47</v>
      </c>
      <c r="B244" s="4">
        <f t="shared" si="3"/>
        <v>45685</v>
      </c>
      <c r="C244" s="3" t="s">
        <v>90</v>
      </c>
      <c r="D244" s="3" t="s">
        <v>135</v>
      </c>
      <c r="E244" s="3">
        <v>0.32493818000000002</v>
      </c>
      <c r="F244" s="3">
        <v>119.0688</v>
      </c>
      <c r="G244" s="3">
        <v>-38.69</v>
      </c>
      <c r="H244" s="5">
        <v>20.566800000000001</v>
      </c>
      <c r="I244" s="8">
        <f>SUMIF(D244:D$1000,D244,E244:E$1000)</f>
        <v>0.32493818000000002</v>
      </c>
      <c r="J244" s="9" cm="1">
        <f t="array" ref="J244">IF(I244&gt;IFERROR(_xlfn.XLOOKUP(D244,D245:D$1000,I245:I$1000,,0,1),0),(IFERROR(_xlfn.XLOOKUP(D244,D245:D$1000,J245:J$1000,,0,1),0)*IFERROR(_xlfn.XLOOKUP(D244,D245:D$1000,I245:I$1000,,0,1),0)-G244*H244)/I244,_xlfn.XLOOKUP(D244,D245:D$1000,J245:J$1000,,0,1))</f>
        <v>2448.8642485779906</v>
      </c>
      <c r="K244" s="10" cm="1">
        <f t="array" ref="K244">IFERROR(IF(I244&lt;_xlfn.XLOOKUP(D244,D245:D$1000,I245:I$1000,,0,1),G244*H244-_xlfn.XLOOKUP(D244,D245:D$1000,J245:J$1000,,0,1)*-E244,0),0)</f>
        <v>0</v>
      </c>
      <c r="L244" s="56">
        <v>138.34299999999999</v>
      </c>
      <c r="M244" s="56">
        <v>137.94900000000001</v>
      </c>
      <c r="N244" s="59" cm="1">
        <f t="array" ref="N244">IF(I244&gt;_xlfn.XLOOKUP(D244,D245:D$1000,I245:I$1000,0,0,1),(_xlfn.XLOOKUP(D244,D245:D$1000,N245:N$1000,0,0,1)*MAX(1,L244/_xlfn.XLOOKUP(D244,D245:D$1000,L245:L$1000,L244,0,1))*_xlfn.XLOOKUP(D244,D245:D$1000,I245:I$1000,0,0,1)-G244*H244)/I244,_xlfn.XLOOKUP(D244,D245:D$1000,N245:N$1000,,0,1)*MAX(1,L244/_xlfn.XLOOKUP(D244,D245:D$1000,L245:L$1000,,0,1)))</f>
        <v>2448.8642485779906</v>
      </c>
      <c r="O244" s="59" cm="1">
        <f t="array" ref="O244">IFERROR(IF(I244&lt;_xlfn.XLOOKUP(D244,D245:D$1000,I245:I$1000,,0,1),G244*H244-_xlfn.XLOOKUP(D244,D245:D$1000,N245:N$1000,,0,1)*-E244*MAX(1,M244/IFERROR(_xlfn.XLOOKUP(D244,D245:D$1000,L245:L$1000,,0,1),M244)),0),0)</f>
        <v>0</v>
      </c>
      <c r="P244" s="56" t="str" cm="1">
        <f t="array" ref="P244">IF(O244&lt;0,1,IF(E244&lt;0, _xlfn.LET(_xlpm.v_cant, ABS(E244), _xlpm.v_fecha, B244, _xlpm.v_ticker, D244, _xlpm.rango_f, B245:B$1000, _xlpm.rango_t, E245:E$1000, _xlpm.filtro, D245:D$1000=_xlpm.v_ticker, _xlpm.c_fechas, _xlfn._xlws.FILTER(_xlpm.rango_f, _xlpm.filtro*(_xlpm.rango_t&gt;0), _xlpm.v_fecha), _xlpm.c_cants, _xlfn._xlws.FILTER(_xlpm.rango_t, _xlpm.filtro*(_xlpm.rango_t&gt;0), 0), _xlpm.v_acums_pasadas, ABS(SUMIFS(E245:E$1000, D245:D$1000, _xlpm.v_ticker, E245:E$1000,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5" spans="1:16" x14ac:dyDescent="0.45">
      <c r="A245" s="3" t="s">
        <v>46</v>
      </c>
      <c r="B245" s="4">
        <f t="shared" si="3"/>
        <v>45680</v>
      </c>
      <c r="C245" s="3" t="s">
        <v>90</v>
      </c>
      <c r="D245" s="3" t="s">
        <v>186</v>
      </c>
      <c r="E245" s="3">
        <v>1</v>
      </c>
      <c r="F245" s="3">
        <v>33.598799999999997</v>
      </c>
      <c r="G245" s="3">
        <v>-33.6</v>
      </c>
      <c r="H245" s="5">
        <v>20.394300000000001</v>
      </c>
      <c r="I245" s="8">
        <f>SUMIF(D245:D$1000,D245,E245:E$1000)</f>
        <v>1.1676012199999999</v>
      </c>
      <c r="J245" s="9" cm="1">
        <f t="array" ref="J245">IF(I245&gt;IFERROR(_xlfn.XLOOKUP(D245,D246:D$1000,I246:I$1000,,0,1),0),(IFERROR(_xlfn.XLOOKUP(D245,D246:D$1000,J246:J$1000,,0,1),0)*IFERROR(_xlfn.XLOOKUP(D245,D246:D$1000,I246:I$1000,,0,1),0)-G245*H245)/I245,_xlfn.XLOOKUP(D245,D246:D$1000,J246:J$1000,,0,1))</f>
        <v>685.2240091013266</v>
      </c>
      <c r="K245" s="10" cm="1">
        <f t="array" ref="K245">IFERROR(IF(I245&lt;_xlfn.XLOOKUP(D245,D246:D$1000,I246:I$1000,,0,1),G245*H245-_xlfn.XLOOKUP(D245,D246:D$1000,J246:J$1000,,0,1)*-E245,0),0)</f>
        <v>0</v>
      </c>
      <c r="L245" s="56">
        <v>138.34299999999999</v>
      </c>
      <c r="M245" s="56">
        <v>137.94900000000001</v>
      </c>
      <c r="N245" s="59" cm="1">
        <f t="array" ref="N245">IF(I245&gt;_xlfn.XLOOKUP(D245,D246:D$1000,I246:I$1000,0,0,1),(_xlfn.XLOOKUP(D245,D246:D$1000,N246:N$1000,0,0,1)*MAX(1,L245/_xlfn.XLOOKUP(D245,D246:D$1000,L246:L$1000,L245,0,1))*_xlfn.XLOOKUP(D245,D246:D$1000,I246:I$1000,0,0,1)-G245*H245)/I245,_xlfn.XLOOKUP(D245,D246:D$1000,N246:N$1000,,0,1)*MAX(1,L245/_xlfn.XLOOKUP(D245,D246:D$1000,L246:L$1000,,0,1)))</f>
        <v>685.2240091013266</v>
      </c>
      <c r="O245" s="59" cm="1">
        <f t="array" ref="O245">IFERROR(IF(I245&lt;_xlfn.XLOOKUP(D245,D246:D$1000,I246:I$1000,,0,1),G245*H245-_xlfn.XLOOKUP(D245,D246:D$1000,N246:N$1000,,0,1)*-E245*MAX(1,M245/IFERROR(_xlfn.XLOOKUP(D245,D246:D$1000,L246:L$1000,,0,1),M245)),0),0)</f>
        <v>0</v>
      </c>
      <c r="P245" s="56" t="str" cm="1">
        <f t="array" ref="P245">IF(O245&lt;0,1,IF(E245&lt;0, _xlfn.LET(_xlpm.v_cant, ABS(E245), _xlpm.v_fecha, B245, _xlpm.v_ticker, D245, _xlpm.rango_f, B246:B$1000, _xlpm.rango_t, E246:E$1000, _xlpm.filtro, D246:D$1000=_xlpm.v_ticker, _xlpm.c_fechas, _xlfn._xlws.FILTER(_xlpm.rango_f, _xlpm.filtro*(_xlpm.rango_t&gt;0), _xlpm.v_fecha), _xlpm.c_cants, _xlfn._xlws.FILTER(_xlpm.rango_t, _xlpm.filtro*(_xlpm.rango_t&gt;0), 0), _xlpm.v_acums_pasadas, ABS(SUMIFS(E246:E$1000, D246:D$1000, _xlpm.v_ticker, E246:E$1000,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6" spans="1:16" x14ac:dyDescent="0.45">
      <c r="A246" s="3" t="s">
        <v>46</v>
      </c>
      <c r="B246" s="4">
        <f t="shared" si="3"/>
        <v>45680</v>
      </c>
      <c r="C246" s="3" t="s">
        <v>90</v>
      </c>
      <c r="D246" s="3" t="s">
        <v>186</v>
      </c>
      <c r="E246" s="3">
        <v>0.16760122</v>
      </c>
      <c r="F246" s="3">
        <v>33.598799999999997</v>
      </c>
      <c r="G246" s="3">
        <v>-5.63</v>
      </c>
      <c r="H246" s="5">
        <v>20.394300000000001</v>
      </c>
      <c r="I246" s="8">
        <f>SUMIF(D246:D$1000,D246,E246:E$1000)</f>
        <v>0.16760122</v>
      </c>
      <c r="J246" s="9" cm="1">
        <f t="array" ref="J246">IF(I246&gt;IFERROR(_xlfn.XLOOKUP(D246,D247:D$1000,I247:I$1000,,0,1),0),(IFERROR(_xlfn.XLOOKUP(D246,D247:D$1000,J247:J$1000,,0,1),0)*IFERROR(_xlfn.XLOOKUP(D246,D247:D$1000,I247:I$1000,,0,1),0)-G246*H246)/I246,_xlfn.XLOOKUP(D246,D247:D$1000,J247:J$1000,,0,1))</f>
        <v>685.07800241549558</v>
      </c>
      <c r="K246" s="10" cm="1">
        <f t="array" ref="K246">IFERROR(IF(I246&lt;_xlfn.XLOOKUP(D246,D247:D$1000,I247:I$1000,,0,1),G246*H246-_xlfn.XLOOKUP(D246,D247:D$1000,J247:J$1000,,0,1)*-E246,0),0)</f>
        <v>0</v>
      </c>
      <c r="L246" s="56">
        <v>138.34299999999999</v>
      </c>
      <c r="M246" s="56">
        <v>137.94900000000001</v>
      </c>
      <c r="N246" s="59" cm="1">
        <f t="array" ref="N246">IF(I246&gt;_xlfn.XLOOKUP(D246,D247:D$1000,I247:I$1000,0,0,1),(_xlfn.XLOOKUP(D246,D247:D$1000,N247:N$1000,0,0,1)*MAX(1,L246/_xlfn.XLOOKUP(D246,D247:D$1000,L247:L$1000,L246,0,1))*_xlfn.XLOOKUP(D246,D247:D$1000,I247:I$1000,0,0,1)-G246*H246)/I246,_xlfn.XLOOKUP(D246,D247:D$1000,N247:N$1000,,0,1)*MAX(1,L246/_xlfn.XLOOKUP(D246,D247:D$1000,L247:L$1000,,0,1)))</f>
        <v>685.07800241549558</v>
      </c>
      <c r="O246" s="59" cm="1">
        <f t="array" ref="O246">IFERROR(IF(I246&lt;_xlfn.XLOOKUP(D246,D247:D$1000,I247:I$1000,,0,1),G246*H246-_xlfn.XLOOKUP(D246,D247:D$1000,N247:N$1000,,0,1)*-E246*MAX(1,M246/IFERROR(_xlfn.XLOOKUP(D246,D247:D$1000,L247:L$1000,,0,1),M246)),0),0)</f>
        <v>0</v>
      </c>
      <c r="P246" s="56" t="str" cm="1">
        <f t="array" ref="P246">IF(O246&lt;0,1,IF(E246&lt;0, _xlfn.LET(_xlpm.v_cant, ABS(E246), _xlpm.v_fecha, B246, _xlpm.v_ticker, D246, _xlpm.rango_f, B247:B$1000, _xlpm.rango_t, E247:E$1000, _xlpm.filtro, D247:D$1000=_xlpm.v_ticker, _xlpm.c_fechas, _xlfn._xlws.FILTER(_xlpm.rango_f, _xlpm.filtro*(_xlpm.rango_t&gt;0), _xlpm.v_fecha), _xlpm.c_cants, _xlfn._xlws.FILTER(_xlpm.rango_t, _xlpm.filtro*(_xlpm.rango_t&gt;0), 0), _xlpm.v_acums_pasadas, ABS(SUMIFS(E247:E$1000, D247:D$1000, _xlpm.v_ticker, E247:E$1000,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7" spans="1:16" x14ac:dyDescent="0.45">
      <c r="A247" s="3" t="s">
        <v>45</v>
      </c>
      <c r="B247" s="4">
        <f t="shared" si="3"/>
        <v>45679</v>
      </c>
      <c r="C247" s="3" t="s">
        <v>90</v>
      </c>
      <c r="D247" s="3" t="s">
        <v>96</v>
      </c>
      <c r="E247" s="3">
        <v>1</v>
      </c>
      <c r="F247" s="3">
        <v>19.018799999999999</v>
      </c>
      <c r="G247" s="3">
        <v>-19.02</v>
      </c>
      <c r="H247" s="5">
        <v>20.5397</v>
      </c>
      <c r="I247" s="8">
        <f>SUMIF(D247:D$1000,D247,E247:E$1000)</f>
        <v>6.1853166799999997</v>
      </c>
      <c r="J247" s="9" cm="1">
        <f t="array" ref="J247">IF(I247&gt;IFERROR(_xlfn.XLOOKUP(D247,D248:D$1000,I248:I$1000,,0,1),0),(IFERROR(_xlfn.XLOOKUP(D247,D248:D$1000,J248:J$1000,,0,1),0)*IFERROR(_xlfn.XLOOKUP(D247,D248:D$1000,I248:I$1000,,0,1),0)-G247*H247)/I247,_xlfn.XLOOKUP(D247,D248:D$1000,J248:J$1000,,0,1))</f>
        <v>386.76316715282547</v>
      </c>
      <c r="K247" s="10" cm="1">
        <f t="array" ref="K247">IFERROR(IF(I247&lt;_xlfn.XLOOKUP(D247,D248:D$1000,I248:I$1000,,0,1),G247*H247-_xlfn.XLOOKUP(D247,D248:D$1000,J248:J$1000,,0,1)*-E247,0),0)</f>
        <v>0</v>
      </c>
      <c r="L247" s="56">
        <v>138.34299999999999</v>
      </c>
      <c r="M247" s="56">
        <v>137.94900000000001</v>
      </c>
      <c r="N247" s="59" cm="1">
        <f t="array" ref="N247">IF(I247&gt;_xlfn.XLOOKUP(D247,D248:D$1000,I248:I$1000,0,0,1),(_xlfn.XLOOKUP(D247,D248:D$1000,N248:N$1000,0,0,1)*MAX(1,L247/_xlfn.XLOOKUP(D247,D248:D$1000,L248:L$1000,L247,0,1))*_xlfn.XLOOKUP(D247,D248:D$1000,I248:I$1000,0,0,1)-G247*H247)/I247,_xlfn.XLOOKUP(D247,D248:D$1000,N248:N$1000,,0,1)*MAX(1,L247/_xlfn.XLOOKUP(D247,D248:D$1000,L248:L$1000,,0,1)))</f>
        <v>389.00352162758662</v>
      </c>
      <c r="O247" s="59" cm="1">
        <f t="array" ref="O247">IFERROR(IF(I247&lt;_xlfn.XLOOKUP(D247,D248:D$1000,I248:I$1000,,0,1),G247*H247-_xlfn.XLOOKUP(D247,D248:D$1000,N248:N$1000,,0,1)*-E247*MAX(1,M247/IFERROR(_xlfn.XLOOKUP(D247,D248:D$1000,L248:L$1000,,0,1),M247)),0),0)</f>
        <v>0</v>
      </c>
      <c r="P247" s="56" t="str" cm="1">
        <f t="array" ref="P247">IF(O247&lt;0,1,IF(E247&lt;0, _xlfn.LET(_xlpm.v_cant, ABS(E247), _xlpm.v_fecha, B247, _xlpm.v_ticker, D247, _xlpm.rango_f, B248:B$1000, _xlpm.rango_t, E248:E$1000, _xlpm.filtro, D248:D$1000=_xlpm.v_ticker, _xlpm.c_fechas, _xlfn._xlws.FILTER(_xlpm.rango_f, _xlpm.filtro*(_xlpm.rango_t&gt;0), _xlpm.v_fecha), _xlpm.c_cants, _xlfn._xlws.FILTER(_xlpm.rango_t, _xlpm.filtro*(_xlpm.rango_t&gt;0), 0), _xlpm.v_acums_pasadas, ABS(SUMIFS(E248:E$1000, D248:D$1000, _xlpm.v_ticker, E248:E$1000,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8" spans="1:16" x14ac:dyDescent="0.45">
      <c r="A248" s="3" t="s">
        <v>45</v>
      </c>
      <c r="B248" s="4">
        <f t="shared" si="3"/>
        <v>45679</v>
      </c>
      <c r="C248" s="3" t="s">
        <v>90</v>
      </c>
      <c r="D248" s="3" t="s">
        <v>96</v>
      </c>
      <c r="E248" s="3">
        <v>2.3723890000000001E-2</v>
      </c>
      <c r="F248" s="3">
        <v>19.018799999999999</v>
      </c>
      <c r="G248" s="3">
        <v>-0.45</v>
      </c>
      <c r="H248" s="5">
        <v>20.5397</v>
      </c>
      <c r="I248" s="8">
        <f>SUMIF(D248:D$1000,D248,E248:E$1000)</f>
        <v>5.1853166799999997</v>
      </c>
      <c r="J248" s="9" cm="1">
        <f t="array" ref="J248">IF(I248&gt;IFERROR(_xlfn.XLOOKUP(D248,D249:D$1000,I249:I$1000,,0,1),0),(IFERROR(_xlfn.XLOOKUP(D248,D249:D$1000,J249:J$1000,,0,1),0)*IFERROR(_xlfn.XLOOKUP(D248,D249:D$1000,I249:I$1000,,0,1),0)-G248*H248)/I248,_xlfn.XLOOKUP(D248,D249:D$1000,J249:J$1000,,0,1))</f>
        <v>386.01067177250968</v>
      </c>
      <c r="K248" s="10" cm="1">
        <f t="array" ref="K248">IFERROR(IF(I248&lt;_xlfn.XLOOKUP(D248,D249:D$1000,I249:I$1000,,0,1),G248*H248-_xlfn.XLOOKUP(D248,D249:D$1000,J249:J$1000,,0,1)*-E248,0),0)</f>
        <v>0</v>
      </c>
      <c r="L248" s="56">
        <v>138.34299999999999</v>
      </c>
      <c r="M248" s="56">
        <v>137.94900000000001</v>
      </c>
      <c r="N248" s="59" cm="1">
        <f t="array" ref="N248">IF(I248&gt;_xlfn.XLOOKUP(D248,D249:D$1000,I249:I$1000,0,0,1),(_xlfn.XLOOKUP(D248,D249:D$1000,N249:N$1000,0,0,1)*MAX(1,L248/_xlfn.XLOOKUP(D248,D249:D$1000,L249:L$1000,L248,0,1))*_xlfn.XLOOKUP(D248,D249:D$1000,I249:I$1000,0,0,1)-G248*H248)/I248,_xlfn.XLOOKUP(D248,D249:D$1000,N249:N$1000,,0,1)*MAX(1,L248/_xlfn.XLOOKUP(D248,D249:D$1000,L249:L$1000,,0,1)))</f>
        <v>388.68308365340806</v>
      </c>
      <c r="O248" s="59" cm="1">
        <f t="array" ref="O248">IFERROR(IF(I248&lt;_xlfn.XLOOKUP(D248,D249:D$1000,I249:I$1000,,0,1),G248*H248-_xlfn.XLOOKUP(D248,D249:D$1000,N249:N$1000,,0,1)*-E248*MAX(1,M248/IFERROR(_xlfn.XLOOKUP(D248,D249:D$1000,L249:L$1000,,0,1),M248)),0),0)</f>
        <v>0</v>
      </c>
      <c r="P248" s="56" t="str" cm="1">
        <f t="array" ref="P248">IF(O248&lt;0,1,IF(E248&lt;0, _xlfn.LET(_xlpm.v_cant, ABS(E248), _xlpm.v_fecha, B248, _xlpm.v_ticker, D248, _xlpm.rango_f, B249:B$1000, _xlpm.rango_t, E249:E$1000, _xlpm.filtro, D249:D$1000=_xlpm.v_ticker, _xlpm.c_fechas, _xlfn._xlws.FILTER(_xlpm.rango_f, _xlpm.filtro*(_xlpm.rango_t&gt;0), _xlpm.v_fecha), _xlpm.c_cants, _xlfn._xlws.FILTER(_xlpm.rango_t, _xlpm.filtro*(_xlpm.rango_t&gt;0), 0), _xlpm.v_acums_pasadas, ABS(SUMIFS(E249:E$1000, D249:D$1000, _xlpm.v_ticker, E249:E$1000,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49" spans="1:16" x14ac:dyDescent="0.45">
      <c r="A249" s="3" t="s">
        <v>45</v>
      </c>
      <c r="B249" s="4">
        <f t="shared" si="3"/>
        <v>45679</v>
      </c>
      <c r="C249" s="3" t="s">
        <v>90</v>
      </c>
      <c r="D249" s="3" t="s">
        <v>97</v>
      </c>
      <c r="E249" s="3">
        <v>0.52437005999999997</v>
      </c>
      <c r="F249" s="3">
        <v>46.4176</v>
      </c>
      <c r="G249" s="3">
        <v>-24.34</v>
      </c>
      <c r="H249" s="5">
        <v>20.5397</v>
      </c>
      <c r="I249" s="8">
        <f>SUMIF(D249:D$1000,D249,E249:E$1000)</f>
        <v>11.829677109999999</v>
      </c>
      <c r="J249" s="9" cm="1">
        <f t="array" ref="J249">IF(I249&gt;IFERROR(_xlfn.XLOOKUP(D249,D250:D$1000,I250:I$1000,,0,1),0),(IFERROR(_xlfn.XLOOKUP(D249,D250:D$1000,J250:J$1000,,0,1),0)*IFERROR(_xlfn.XLOOKUP(D249,D250:D$1000,I250:I$1000,,0,1),0)-G249*H249)/I249,_xlfn.XLOOKUP(D249,D250:D$1000,J250:J$1000,,0,1))</f>
        <v>235.81229090706773</v>
      </c>
      <c r="K249" s="10" cm="1">
        <f t="array" ref="K249">IFERROR(IF(I249&lt;_xlfn.XLOOKUP(D249,D250:D$1000,I250:I$1000,,0,1),G249*H249-_xlfn.XLOOKUP(D249,D250:D$1000,J250:J$1000,,0,1)*-E249,0),0)</f>
        <v>0</v>
      </c>
      <c r="L249" s="56">
        <v>138.34299999999999</v>
      </c>
      <c r="M249" s="56">
        <v>137.94900000000001</v>
      </c>
      <c r="N249" s="59" cm="1">
        <f t="array" ref="N249">IF(I249&gt;_xlfn.XLOOKUP(D249,D250:D$1000,I250:I$1000,0,0,1),(_xlfn.XLOOKUP(D249,D250:D$1000,N250:N$1000,0,0,1)*MAX(1,L249/_xlfn.XLOOKUP(D249,D250:D$1000,L250:L$1000,L249,0,1))*_xlfn.XLOOKUP(D249,D250:D$1000,I250:I$1000,0,0,1)-G249*H249)/I249,_xlfn.XLOOKUP(D249,D250:D$1000,N250:N$1000,,0,1)*MAX(1,L249/_xlfn.XLOOKUP(D249,D250:D$1000,L250:L$1000,,0,1)))</f>
        <v>237.23946368372933</v>
      </c>
      <c r="O249" s="59" cm="1">
        <f t="array" ref="O249">IFERROR(IF(I249&lt;_xlfn.XLOOKUP(D249,D250:D$1000,I250:I$1000,,0,1),G249*H249-_xlfn.XLOOKUP(D249,D250:D$1000,N250:N$1000,,0,1)*-E249*MAX(1,M249/IFERROR(_xlfn.XLOOKUP(D249,D250:D$1000,L250:L$1000,,0,1),M249)),0),0)</f>
        <v>0</v>
      </c>
      <c r="P249" s="56" t="str" cm="1">
        <f t="array" ref="P249">IF(O249&lt;0,1,IF(E249&lt;0, _xlfn.LET(_xlpm.v_cant, ABS(E249), _xlpm.v_fecha, B249, _xlpm.v_ticker, D249, _xlpm.rango_f, B250:B$1000, _xlpm.rango_t, E250:E$1000, _xlpm.filtro, D250:D$1000=_xlpm.v_ticker, _xlpm.c_fechas, _xlfn._xlws.FILTER(_xlpm.rango_f, _xlpm.filtro*(_xlpm.rango_t&gt;0), _xlpm.v_fecha), _xlpm.c_cants, _xlfn._xlws.FILTER(_xlpm.rango_t, _xlpm.filtro*(_xlpm.rango_t&gt;0), 0), _xlpm.v_acums_pasadas, ABS(SUMIFS(E250:E$1000, D250:D$1000, _xlpm.v_ticker, E250:E$1000,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0" spans="1:16" x14ac:dyDescent="0.45">
      <c r="A250" s="3" t="s">
        <v>44</v>
      </c>
      <c r="B250" s="4">
        <f t="shared" si="3"/>
        <v>45664</v>
      </c>
      <c r="C250" s="3" t="s">
        <v>90</v>
      </c>
      <c r="D250" s="3" t="s">
        <v>185</v>
      </c>
      <c r="E250" s="3">
        <v>2</v>
      </c>
      <c r="F250" s="3">
        <v>10.1088</v>
      </c>
      <c r="G250" s="3">
        <v>-20.22</v>
      </c>
      <c r="H250" s="5">
        <v>20.344000000000001</v>
      </c>
      <c r="I250" s="8">
        <f>SUMIF(D250:D$1000,D250,E250:E$1000)</f>
        <v>2.4285770800000002</v>
      </c>
      <c r="J250" s="9" cm="1">
        <f t="array" ref="J250">IF(I250&gt;IFERROR(_xlfn.XLOOKUP(D250,D251:D$1000,I251:I$1000,,0,1),0),(IFERROR(_xlfn.XLOOKUP(D250,D251:D$1000,J251:J$1000,,0,1),0)*IFERROR(_xlfn.XLOOKUP(D250,D251:D$1000,I251:I$1000,,0,1),0)-G250*H250)/I250,_xlfn.XLOOKUP(D250,D251:D$1000,J251:J$1000,,0,1))</f>
        <v>205.65342731473029</v>
      </c>
      <c r="K250" s="10" cm="1">
        <f t="array" ref="K250">IFERROR(IF(I250&lt;_xlfn.XLOOKUP(D250,D251:D$1000,I251:I$1000,,0,1),G250*H250-_xlfn.XLOOKUP(D250,D251:D$1000,J251:J$1000,,0,1)*-E250,0),0)</f>
        <v>0</v>
      </c>
      <c r="L250" s="56">
        <v>138.34299999999999</v>
      </c>
      <c r="M250" s="56">
        <v>137.94900000000001</v>
      </c>
      <c r="N250" s="59" cm="1">
        <f t="array" ref="N250">IF(I250&gt;_xlfn.XLOOKUP(D250,D251:D$1000,I251:I$1000,0,0,1),(_xlfn.XLOOKUP(D250,D251:D$1000,N251:N$1000,0,0,1)*MAX(1,L250/_xlfn.XLOOKUP(D250,D251:D$1000,L251:L$1000,L250,0,1))*_xlfn.XLOOKUP(D250,D251:D$1000,I251:I$1000,0,0,1)-G250*H250)/I250,_xlfn.XLOOKUP(D250,D251:D$1000,N251:N$1000,,0,1)*MAX(1,L250/_xlfn.XLOOKUP(D250,D251:D$1000,L251:L$1000,,0,1)))</f>
        <v>205.65342731473029</v>
      </c>
      <c r="O250" s="59" cm="1">
        <f t="array" ref="O250">IFERROR(IF(I250&lt;_xlfn.XLOOKUP(D250,D251:D$1000,I251:I$1000,,0,1),G250*H250-_xlfn.XLOOKUP(D250,D251:D$1000,N251:N$1000,,0,1)*-E250*MAX(1,M250/IFERROR(_xlfn.XLOOKUP(D250,D251:D$1000,L251:L$1000,,0,1),M250)),0),0)</f>
        <v>0</v>
      </c>
      <c r="P250" s="56" t="str" cm="1">
        <f t="array" ref="P250">IF(O250&lt;0,1,IF(E250&lt;0, _xlfn.LET(_xlpm.v_cant, ABS(E250), _xlpm.v_fecha, B250, _xlpm.v_ticker, D250, _xlpm.rango_f, B251:B$1000, _xlpm.rango_t, E251:E$1000, _xlpm.filtro, D251:D$1000=_xlpm.v_ticker, _xlpm.c_fechas, _xlfn._xlws.FILTER(_xlpm.rango_f, _xlpm.filtro*(_xlpm.rango_t&gt;0), _xlpm.v_fecha), _xlpm.c_cants, _xlfn._xlws.FILTER(_xlpm.rango_t, _xlpm.filtro*(_xlpm.rango_t&gt;0), 0), _xlpm.v_acums_pasadas, ABS(SUMIFS(E251:E$1000, D251:D$1000, _xlpm.v_ticker, E251:E$1000,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1" spans="1:16" x14ac:dyDescent="0.45">
      <c r="A251" s="3" t="s">
        <v>44</v>
      </c>
      <c r="B251" s="4">
        <f t="shared" si="3"/>
        <v>45664</v>
      </c>
      <c r="C251" s="3" t="s">
        <v>90</v>
      </c>
      <c r="D251" s="3" t="s">
        <v>185</v>
      </c>
      <c r="E251" s="3">
        <v>0.42857708</v>
      </c>
      <c r="F251" s="3">
        <v>10.1088</v>
      </c>
      <c r="G251" s="3">
        <v>-4.33</v>
      </c>
      <c r="H251" s="5">
        <v>20.344000000000001</v>
      </c>
      <c r="I251" s="8">
        <f>SUMIF(D251:D$1000,D251,E251:E$1000)</f>
        <v>0.42857708</v>
      </c>
      <c r="J251" s="9" cm="1">
        <f t="array" ref="J251">IF(I251&gt;IFERROR(_xlfn.XLOOKUP(D251,D252:D$1000,I252:I$1000,,0,1),0),(IFERROR(_xlfn.XLOOKUP(D251,D252:D$1000,J252:J$1000,,0,1),0)*IFERROR(_xlfn.XLOOKUP(D251,D252:D$1000,I252:I$1000,,0,1),0)-G251*H251)/I251,_xlfn.XLOOKUP(D251,D252:D$1000,J252:J$1000,,0,1))</f>
        <v>205.53950295242109</v>
      </c>
      <c r="K251" s="10" cm="1">
        <f t="array" ref="K251">IFERROR(IF(I251&lt;_xlfn.XLOOKUP(D251,D252:D$1000,I252:I$1000,,0,1),G251*H251-_xlfn.XLOOKUP(D251,D252:D$1000,J252:J$1000,,0,1)*-E251,0),0)</f>
        <v>0</v>
      </c>
      <c r="L251" s="56">
        <v>138.34299999999999</v>
      </c>
      <c r="M251" s="56">
        <v>137.94900000000001</v>
      </c>
      <c r="N251" s="59" cm="1">
        <f t="array" ref="N251">IF(I251&gt;_xlfn.XLOOKUP(D251,D252:D$1000,I252:I$1000,0,0,1),(_xlfn.XLOOKUP(D251,D252:D$1000,N252:N$1000,0,0,1)*MAX(1,L251/_xlfn.XLOOKUP(D251,D252:D$1000,L252:L$1000,L251,0,1))*_xlfn.XLOOKUP(D251,D252:D$1000,I252:I$1000,0,0,1)-G251*H251)/I251,_xlfn.XLOOKUP(D251,D252:D$1000,N252:N$1000,,0,1)*MAX(1,L251/_xlfn.XLOOKUP(D251,D252:D$1000,L252:L$1000,,0,1)))</f>
        <v>205.53950295242109</v>
      </c>
      <c r="O251" s="59" cm="1">
        <f t="array" ref="O251">IFERROR(IF(I251&lt;_xlfn.XLOOKUP(D251,D252:D$1000,I252:I$1000,,0,1),G251*H251-_xlfn.XLOOKUP(D251,D252:D$1000,N252:N$1000,,0,1)*-E251*MAX(1,M251/IFERROR(_xlfn.XLOOKUP(D251,D252:D$1000,L252:L$1000,,0,1),M251)),0),0)</f>
        <v>0</v>
      </c>
      <c r="P251" s="56" t="str" cm="1">
        <f t="array" ref="P251">IF(O251&lt;0,1,IF(E251&lt;0, _xlfn.LET(_xlpm.v_cant, ABS(E251), _xlpm.v_fecha, B251, _xlpm.v_ticker, D251, _xlpm.rango_f, B252:B$1000, _xlpm.rango_t, E252:E$1000, _xlpm.filtro, D252:D$1000=_xlpm.v_ticker, _xlpm.c_fechas, _xlfn._xlws.FILTER(_xlpm.rango_f, _xlpm.filtro*(_xlpm.rango_t&gt;0), _xlpm.v_fecha), _xlpm.c_cants, _xlfn._xlws.FILTER(_xlpm.rango_t, _xlpm.filtro*(_xlpm.rango_t&gt;0), 0), _xlpm.v_acums_pasadas, ABS(SUMIFS(E252:E$1000, D252:D$1000, _xlpm.v_ticker, E252:E$1000,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2" spans="1:16" x14ac:dyDescent="0.45">
      <c r="A252" s="3" t="s">
        <v>44</v>
      </c>
      <c r="B252" s="4">
        <f t="shared" si="3"/>
        <v>45664</v>
      </c>
      <c r="C252" s="3" t="s">
        <v>90</v>
      </c>
      <c r="D252" s="3" t="s">
        <v>137</v>
      </c>
      <c r="E252" s="3">
        <v>7.7814560000000005E-2</v>
      </c>
      <c r="F252" s="3">
        <v>630.85879999999997</v>
      </c>
      <c r="G252" s="3">
        <v>-49.09</v>
      </c>
      <c r="H252" s="5">
        <v>20.344000000000001</v>
      </c>
      <c r="I252" s="8">
        <f>SUMIF(D252:D$1000,D252,E252:E$1000)</f>
        <v>7.7814560000000005E-2</v>
      </c>
      <c r="J252" s="9" cm="1">
        <f t="array" ref="J252">IF(I252&gt;IFERROR(_xlfn.XLOOKUP(D252,D253:D$1000,I253:I$1000,,0,1),0),(IFERROR(_xlfn.XLOOKUP(D252,D253:D$1000,J253:J$1000,,0,1),0)*IFERROR(_xlfn.XLOOKUP(D252,D253:D$1000,I253:I$1000,,0,1),0)-G252*H252)/I252,_xlfn.XLOOKUP(D252,D253:D$1000,J253:J$1000,,0,1))</f>
        <v>12834.191441807292</v>
      </c>
      <c r="K252" s="10" cm="1">
        <f t="array" ref="K252">IFERROR(IF(I252&lt;_xlfn.XLOOKUP(D252,D253:D$1000,I253:I$1000,,0,1),G252*H252-_xlfn.XLOOKUP(D252,D253:D$1000,J253:J$1000,,0,1)*-E252,0),0)</f>
        <v>0</v>
      </c>
      <c r="L252" s="56">
        <v>138.34299999999999</v>
      </c>
      <c r="M252" s="56">
        <v>137.94900000000001</v>
      </c>
      <c r="N252" s="59" cm="1">
        <f t="array" ref="N252">IF(I252&gt;_xlfn.XLOOKUP(D252,D253:D$1000,I253:I$1000,0,0,1),(_xlfn.XLOOKUP(D252,D253:D$1000,N253:N$1000,0,0,1)*MAX(1,L252/_xlfn.XLOOKUP(D252,D253:D$1000,L253:L$1000,L252,0,1))*_xlfn.XLOOKUP(D252,D253:D$1000,I253:I$1000,0,0,1)-G252*H252)/I252,_xlfn.XLOOKUP(D252,D253:D$1000,N253:N$1000,,0,1)*MAX(1,L252/_xlfn.XLOOKUP(D252,D253:D$1000,L253:L$1000,,0,1)))</f>
        <v>12834.191441807292</v>
      </c>
      <c r="O252" s="59" cm="1">
        <f t="array" ref="O252">IFERROR(IF(I252&lt;_xlfn.XLOOKUP(D252,D253:D$1000,I253:I$1000,,0,1),G252*H252-_xlfn.XLOOKUP(D252,D253:D$1000,N253:N$1000,,0,1)*-E252*MAX(1,M252/IFERROR(_xlfn.XLOOKUP(D252,D253:D$1000,L253:L$1000,,0,1),M252)),0),0)</f>
        <v>0</v>
      </c>
      <c r="P252" s="56" t="str" cm="1">
        <f t="array" ref="P252">IF(O252&lt;0,1,IF(E252&lt;0, _xlfn.LET(_xlpm.v_cant, ABS(E252), _xlpm.v_fecha, B252, _xlpm.v_ticker, D252, _xlpm.rango_f, B253:B$1000, _xlpm.rango_t, E253:E$1000, _xlpm.filtro, D253:D$1000=_xlpm.v_ticker, _xlpm.c_fechas, _xlfn._xlws.FILTER(_xlpm.rango_f, _xlpm.filtro*(_xlpm.rango_t&gt;0), _xlpm.v_fecha), _xlpm.c_cants, _xlfn._xlws.FILTER(_xlpm.rango_t, _xlpm.filtro*(_xlpm.rango_t&gt;0), 0), _xlpm.v_acums_pasadas, ABS(SUMIFS(E253:E$1000, D253:D$1000, _xlpm.v_ticker, E253:E$1000,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3" spans="1:16" x14ac:dyDescent="0.45">
      <c r="A253" s="3" t="s">
        <v>43</v>
      </c>
      <c r="B253" s="4">
        <f t="shared" si="3"/>
        <v>45660</v>
      </c>
      <c r="C253" s="3" t="s">
        <v>90</v>
      </c>
      <c r="D253" s="3" t="s">
        <v>143</v>
      </c>
      <c r="E253" s="3">
        <v>3</v>
      </c>
      <c r="F253" s="3">
        <v>12.338800000000001</v>
      </c>
      <c r="G253" s="3">
        <v>-37.020000000000003</v>
      </c>
      <c r="H253" s="5">
        <v>20.6708</v>
      </c>
      <c r="I253" s="8">
        <f>SUMIF(D253:D$1000,D253,E253:E$1000)</f>
        <v>3.1251012999999999</v>
      </c>
      <c r="J253" s="9" cm="1">
        <f t="array" ref="J253">IF(I253&gt;IFERROR(_xlfn.XLOOKUP(D253,D254:D$1000,I254:I$1000,,0,1),0),(IFERROR(_xlfn.XLOOKUP(D253,D254:D$1000,J254:J$1000,,0,1),0)*IFERROR(_xlfn.XLOOKUP(D253,D254:D$1000,I254:I$1000,,0,1),0)-G253*H253)/I253,_xlfn.XLOOKUP(D253,D254:D$1000,J254:J$1000,,0,1))</f>
        <v>255.052867566245</v>
      </c>
      <c r="K253" s="10" cm="1">
        <f t="array" ref="K253">IFERROR(IF(I253&lt;_xlfn.XLOOKUP(D253,D254:D$1000,I254:I$1000,,0,1),G253*H253-_xlfn.XLOOKUP(D253,D254:D$1000,J254:J$1000,,0,1)*-E253,0),0)</f>
        <v>0</v>
      </c>
      <c r="L253" s="56">
        <v>138.34299999999999</v>
      </c>
      <c r="M253" s="56">
        <v>137.94900000000001</v>
      </c>
      <c r="N253" s="59" cm="1">
        <f t="array" ref="N253">IF(I253&gt;_xlfn.XLOOKUP(D253,D254:D$1000,I254:I$1000,0,0,1),(_xlfn.XLOOKUP(D253,D254:D$1000,N254:N$1000,0,0,1)*MAX(1,L253/_xlfn.XLOOKUP(D253,D254:D$1000,L254:L$1000,L253,0,1))*_xlfn.XLOOKUP(D253,D254:D$1000,I254:I$1000,0,0,1)-G253*H253)/I253,_xlfn.XLOOKUP(D253,D254:D$1000,N254:N$1000,,0,1)*MAX(1,L253/_xlfn.XLOOKUP(D253,D254:D$1000,L254:L$1000,,0,1)))</f>
        <v>255.052867566245</v>
      </c>
      <c r="O253" s="59" cm="1">
        <f t="array" ref="O253">IFERROR(IF(I253&lt;_xlfn.XLOOKUP(D253,D254:D$1000,I254:I$1000,,0,1),G253*H253-_xlfn.XLOOKUP(D253,D254:D$1000,N254:N$1000,,0,1)*-E253*MAX(1,M253/IFERROR(_xlfn.XLOOKUP(D253,D254:D$1000,L254:L$1000,,0,1),M253)),0),0)</f>
        <v>0</v>
      </c>
      <c r="P253" s="56" t="str" cm="1">
        <f t="array" ref="P253">IF(O253&lt;0,1,IF(E253&lt;0, _xlfn.LET(_xlpm.v_cant, ABS(E253), _xlpm.v_fecha, B253, _xlpm.v_ticker, D253, _xlpm.rango_f, B254:B$1000, _xlpm.rango_t, E254:E$1000, _xlpm.filtro, D254:D$1000=_xlpm.v_ticker, _xlpm.c_fechas, _xlfn._xlws.FILTER(_xlpm.rango_f, _xlpm.filtro*(_xlpm.rango_t&gt;0), _xlpm.v_fecha), _xlpm.c_cants, _xlfn._xlws.FILTER(_xlpm.rango_t, _xlpm.filtro*(_xlpm.rango_t&gt;0), 0), _xlpm.v_acums_pasadas, ABS(SUMIFS(E254:E$1000, D254:D$1000, _xlpm.v_ticker, E254:E$1000,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4" spans="1:16" x14ac:dyDescent="0.45">
      <c r="A254" s="3" t="s">
        <v>43</v>
      </c>
      <c r="B254" s="4">
        <f t="shared" si="3"/>
        <v>45660</v>
      </c>
      <c r="C254" s="3" t="s">
        <v>90</v>
      </c>
      <c r="D254" s="3" t="s">
        <v>143</v>
      </c>
      <c r="E254" s="3">
        <v>0.1251013</v>
      </c>
      <c r="F254" s="3">
        <v>12.338800000000001</v>
      </c>
      <c r="G254" s="3">
        <v>-1.54</v>
      </c>
      <c r="H254" s="5">
        <v>20.6708</v>
      </c>
      <c r="I254" s="8">
        <f>SUMIF(D254:D$1000,D254,E254:E$1000)</f>
        <v>0.1251013</v>
      </c>
      <c r="J254" s="9" cm="1">
        <f t="array" ref="J254">IF(I254&gt;IFERROR(_xlfn.XLOOKUP(D254,D255:D$1000,I255:I$1000,,0,1),0),(IFERROR(_xlfn.XLOOKUP(D254,D255:D$1000,J255:J$1000,,0,1),0)*IFERROR(_xlfn.XLOOKUP(D254,D255:D$1000,I255:I$1000,,0,1),0)-G254*H254)/I254,_xlfn.XLOOKUP(D254,D255:D$1000,J255:J$1000,,0,1))</f>
        <v>254.45804320178928</v>
      </c>
      <c r="K254" s="10" cm="1">
        <f t="array" ref="K254">IFERROR(IF(I254&lt;_xlfn.XLOOKUP(D254,D255:D$1000,I255:I$1000,,0,1),G254*H254-_xlfn.XLOOKUP(D254,D255:D$1000,J255:J$1000,,0,1)*-E254,0),0)</f>
        <v>0</v>
      </c>
      <c r="L254" s="56">
        <v>138.34299999999999</v>
      </c>
      <c r="M254" s="56">
        <v>137.94900000000001</v>
      </c>
      <c r="N254" s="59" cm="1">
        <f t="array" ref="N254">IF(I254&gt;_xlfn.XLOOKUP(D254,D255:D$1000,I255:I$1000,0,0,1),(_xlfn.XLOOKUP(D254,D255:D$1000,N255:N$1000,0,0,1)*MAX(1,L254/_xlfn.XLOOKUP(D254,D255:D$1000,L255:L$1000,L254,0,1))*_xlfn.XLOOKUP(D254,D255:D$1000,I255:I$1000,0,0,1)-G254*H254)/I254,_xlfn.XLOOKUP(D254,D255:D$1000,N255:N$1000,,0,1)*MAX(1,L254/_xlfn.XLOOKUP(D254,D255:D$1000,L255:L$1000,,0,1)))</f>
        <v>254.45804320178928</v>
      </c>
      <c r="O254" s="59" cm="1">
        <f t="array" ref="O254">IFERROR(IF(I254&lt;_xlfn.XLOOKUP(D254,D255:D$1000,I255:I$1000,,0,1),G254*H254-_xlfn.XLOOKUP(D254,D255:D$1000,N255:N$1000,,0,1)*-E254*MAX(1,M254/IFERROR(_xlfn.XLOOKUP(D254,D255:D$1000,L255:L$1000,,0,1),M254)),0),0)</f>
        <v>0</v>
      </c>
      <c r="P254" s="56" t="str" cm="1">
        <f t="array" ref="P254">IF(O254&lt;0,1,IF(E254&lt;0, _xlfn.LET(_xlpm.v_cant, ABS(E254), _xlpm.v_fecha, B254, _xlpm.v_ticker, D254, _xlpm.rango_f, B255:B$1000, _xlpm.rango_t, E255:E$1000, _xlpm.filtro, D255:D$1000=_xlpm.v_ticker, _xlpm.c_fechas, _xlfn._xlws.FILTER(_xlpm.rango_f, _xlpm.filtro*(_xlpm.rango_t&gt;0), _xlpm.v_fecha), _xlpm.c_cants, _xlfn._xlws.FILTER(_xlpm.rango_t, _xlpm.filtro*(_xlpm.rango_t&gt;0), 0), _xlpm.v_acums_pasadas, ABS(SUMIFS(E255:E$1000, D255:D$1000, _xlpm.v_ticker, E255:E$1000,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5" spans="1:16" x14ac:dyDescent="0.45">
      <c r="A255" s="3" t="s">
        <v>43</v>
      </c>
      <c r="B255" s="4">
        <f t="shared" si="3"/>
        <v>45660</v>
      </c>
      <c r="C255" s="3" t="s">
        <v>90</v>
      </c>
      <c r="D255" s="3" t="s">
        <v>141</v>
      </c>
      <c r="E255" s="3">
        <v>3</v>
      </c>
      <c r="F255" s="3">
        <v>11.4588</v>
      </c>
      <c r="G255" s="3">
        <v>-34.380000000000003</v>
      </c>
      <c r="H255" s="5">
        <v>20.6708</v>
      </c>
      <c r="I255" s="8">
        <f>SUMIF(D255:D$1000,D255,E255:E$1000)</f>
        <v>3.3650993100000002</v>
      </c>
      <c r="J255" s="9" cm="1">
        <f t="array" ref="J255">IF(I255&gt;IFERROR(_xlfn.XLOOKUP(D255,D256:D$1000,I256:I$1000,,0,1),0),(IFERROR(_xlfn.XLOOKUP(D255,D256:D$1000,J256:J$1000,,0,1),0)*IFERROR(_xlfn.XLOOKUP(D255,D256:D$1000,I256:I$1000,,0,1),0)-G255*H255)/I255,_xlfn.XLOOKUP(D255,D256:D$1000,J256:J$1000,,0,1))</f>
        <v>236.86256320322386</v>
      </c>
      <c r="K255" s="10" cm="1">
        <f t="array" ref="K255">IFERROR(IF(I255&lt;_xlfn.XLOOKUP(D255,D256:D$1000,I256:I$1000,,0,1),G255*H255-_xlfn.XLOOKUP(D255,D256:D$1000,J256:J$1000,,0,1)*-E255,0),0)</f>
        <v>0</v>
      </c>
      <c r="L255" s="56">
        <v>138.34299999999999</v>
      </c>
      <c r="M255" s="56">
        <v>137.94900000000001</v>
      </c>
      <c r="N255" s="59" cm="1">
        <f t="array" ref="N255">IF(I255&gt;_xlfn.XLOOKUP(D255,D256:D$1000,I256:I$1000,0,0,1),(_xlfn.XLOOKUP(D255,D256:D$1000,N256:N$1000,0,0,1)*MAX(1,L255/_xlfn.XLOOKUP(D255,D256:D$1000,L256:L$1000,L255,0,1))*_xlfn.XLOOKUP(D255,D256:D$1000,I256:I$1000,0,0,1)-G255*H255)/I255,_xlfn.XLOOKUP(D255,D256:D$1000,N256:N$1000,,0,1)*MAX(1,L255/_xlfn.XLOOKUP(D255,D256:D$1000,L256:L$1000,,0,1)))</f>
        <v>236.86256320322386</v>
      </c>
      <c r="O255" s="59" cm="1">
        <f t="array" ref="O255">IFERROR(IF(I255&lt;_xlfn.XLOOKUP(D255,D256:D$1000,I256:I$1000,,0,1),G255*H255-_xlfn.XLOOKUP(D255,D256:D$1000,N256:N$1000,,0,1)*-E255*MAX(1,M255/IFERROR(_xlfn.XLOOKUP(D255,D256:D$1000,L256:L$1000,,0,1),M255)),0),0)</f>
        <v>0</v>
      </c>
      <c r="P255" s="56" t="str" cm="1">
        <f t="array" ref="P255">IF(O255&lt;0,1,IF(E255&lt;0, _xlfn.LET(_xlpm.v_cant, ABS(E255), _xlpm.v_fecha, B255, _xlpm.v_ticker, D255, _xlpm.rango_f, B256:B$1000, _xlpm.rango_t, E256:E$1000, _xlpm.filtro, D256:D$1000=_xlpm.v_ticker, _xlpm.c_fechas, _xlfn._xlws.FILTER(_xlpm.rango_f, _xlpm.filtro*(_xlpm.rango_t&gt;0), _xlpm.v_fecha), _xlpm.c_cants, _xlfn._xlws.FILTER(_xlpm.rango_t, _xlpm.filtro*(_xlpm.rango_t&gt;0), 0), _xlpm.v_acums_pasadas, ABS(SUMIFS(E256:E$1000, D256:D$1000, _xlpm.v_ticker, E256:E$1000,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6" spans="1:16" x14ac:dyDescent="0.45">
      <c r="A256" s="3" t="s">
        <v>43</v>
      </c>
      <c r="B256" s="4">
        <f t="shared" si="3"/>
        <v>45660</v>
      </c>
      <c r="C256" s="3" t="s">
        <v>90</v>
      </c>
      <c r="D256" s="3" t="s">
        <v>141</v>
      </c>
      <c r="E256" s="3">
        <v>0.36509931000000001</v>
      </c>
      <c r="F256" s="3">
        <v>11.4588</v>
      </c>
      <c r="G256" s="3">
        <v>-4.18</v>
      </c>
      <c r="H256" s="5">
        <v>20.6708</v>
      </c>
      <c r="I256" s="8">
        <f>SUMIF(D256:D$1000,D256,E256:E$1000)</f>
        <v>0.36509931000000001</v>
      </c>
      <c r="J256" s="9" cm="1">
        <f t="array" ref="J256">IF(I256&gt;IFERROR(_xlfn.XLOOKUP(D256,D257:D$1000,I257:I$1000,,0,1),0),(IFERROR(_xlfn.XLOOKUP(D256,D257:D$1000,J257:J$1000,,0,1),0)*IFERROR(_xlfn.XLOOKUP(D256,D257:D$1000,I257:I$1000,,0,1),0)-G256*H256)/I256,_xlfn.XLOOKUP(D256,D257:D$1000,J257:J$1000,,0,1))</f>
        <v>236.65874361690794</v>
      </c>
      <c r="K256" s="10" cm="1">
        <f t="array" ref="K256">IFERROR(IF(I256&lt;_xlfn.XLOOKUP(D256,D257:D$1000,I257:I$1000,,0,1),G256*H256-_xlfn.XLOOKUP(D256,D257:D$1000,J257:J$1000,,0,1)*-E256,0),0)</f>
        <v>0</v>
      </c>
      <c r="L256" s="56">
        <v>138.34299999999999</v>
      </c>
      <c r="M256" s="56">
        <v>137.94900000000001</v>
      </c>
      <c r="N256" s="59" cm="1">
        <f t="array" ref="N256">IF(I256&gt;_xlfn.XLOOKUP(D256,D257:D$1000,I257:I$1000,0,0,1),(_xlfn.XLOOKUP(D256,D257:D$1000,N257:N$1000,0,0,1)*MAX(1,L256/_xlfn.XLOOKUP(D256,D257:D$1000,L257:L$1000,L256,0,1))*_xlfn.XLOOKUP(D256,D257:D$1000,I257:I$1000,0,0,1)-G256*H256)/I256,_xlfn.XLOOKUP(D256,D257:D$1000,N257:N$1000,,0,1)*MAX(1,L256/_xlfn.XLOOKUP(D256,D257:D$1000,L257:L$1000,,0,1)))</f>
        <v>236.65874361690794</v>
      </c>
      <c r="O256" s="59" cm="1">
        <f t="array" ref="O256">IFERROR(IF(I256&lt;_xlfn.XLOOKUP(D256,D257:D$1000,I257:I$1000,,0,1),G256*H256-_xlfn.XLOOKUP(D256,D257:D$1000,N257:N$1000,,0,1)*-E256*MAX(1,M256/IFERROR(_xlfn.XLOOKUP(D256,D257:D$1000,L257:L$1000,,0,1),M256)),0),0)</f>
        <v>0</v>
      </c>
      <c r="P256" s="56" t="str" cm="1">
        <f t="array" ref="P256">IF(O256&lt;0,1,IF(E256&lt;0, _xlfn.LET(_xlpm.v_cant, ABS(E256), _xlpm.v_fecha, B256, _xlpm.v_ticker, D256, _xlpm.rango_f, B257:B$1000, _xlpm.rango_t, E257:E$1000, _xlpm.filtro, D257:D$1000=_xlpm.v_ticker, _xlpm.c_fechas, _xlfn._xlws.FILTER(_xlpm.rango_f, _xlpm.filtro*(_xlpm.rango_t&gt;0), _xlpm.v_fecha), _xlpm.c_cants, _xlfn._xlws.FILTER(_xlpm.rango_t, _xlpm.filtro*(_xlpm.rango_t&gt;0), 0), _xlpm.v_acums_pasadas, ABS(SUMIFS(E257:E$1000, D257:D$1000, _xlpm.v_ticker, E257:E$1000,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7" spans="1:16" x14ac:dyDescent="0.45">
      <c r="A257" s="3" t="s">
        <v>43</v>
      </c>
      <c r="B257" s="4">
        <f t="shared" si="3"/>
        <v>45660</v>
      </c>
      <c r="C257" s="3" t="s">
        <v>90</v>
      </c>
      <c r="D257" s="3" t="s">
        <v>184</v>
      </c>
      <c r="E257" s="3">
        <v>3</v>
      </c>
      <c r="F257" s="3">
        <v>6.6288</v>
      </c>
      <c r="G257" s="3">
        <v>-19.89</v>
      </c>
      <c r="H257" s="5">
        <v>20.6708</v>
      </c>
      <c r="I257" s="8">
        <f>SUMIF(D257:D$1000,D257,E257:E$1000)</f>
        <v>3.6356504899999997</v>
      </c>
      <c r="J257" s="9" cm="1">
        <f t="array" ref="J257">IF(I257&gt;IFERROR(_xlfn.XLOOKUP(D257,D258:D$1000,I258:I$1000,,0,1),0),(IFERROR(_xlfn.XLOOKUP(D257,D258:D$1000,J258:J$1000,,0,1),0)*IFERROR(_xlfn.XLOOKUP(D257,D258:D$1000,I258:I$1000,,0,1),0)-G257*H257)/I257,_xlfn.XLOOKUP(D257,D258:D$1000,J258:J$1000,,0,1))</f>
        <v>137.02259922130196</v>
      </c>
      <c r="K257" s="10" cm="1">
        <f t="array" ref="K257">IFERROR(IF(I257&lt;_xlfn.XLOOKUP(D257,D258:D$1000,I258:I$1000,,0,1),G257*H257-_xlfn.XLOOKUP(D257,D258:D$1000,J258:J$1000,,0,1)*-E257,0),0)</f>
        <v>0</v>
      </c>
      <c r="L257" s="56">
        <v>138.34299999999999</v>
      </c>
      <c r="M257" s="56">
        <v>137.94900000000001</v>
      </c>
      <c r="N257" s="59" cm="1">
        <f t="array" ref="N257">IF(I257&gt;_xlfn.XLOOKUP(D257,D258:D$1000,I258:I$1000,0,0,1),(_xlfn.XLOOKUP(D257,D258:D$1000,N258:N$1000,0,0,1)*MAX(1,L257/_xlfn.XLOOKUP(D257,D258:D$1000,L258:L$1000,L257,0,1))*_xlfn.XLOOKUP(D257,D258:D$1000,I258:I$1000,0,0,1)-G257*H257)/I257,_xlfn.XLOOKUP(D257,D258:D$1000,N258:N$1000,,0,1)*MAX(1,L257/_xlfn.XLOOKUP(D257,D258:D$1000,L258:L$1000,,0,1)))</f>
        <v>137.02259922130196</v>
      </c>
      <c r="O257" s="59" cm="1">
        <f t="array" ref="O257">IFERROR(IF(I257&lt;_xlfn.XLOOKUP(D257,D258:D$1000,I258:I$1000,,0,1),G257*H257-_xlfn.XLOOKUP(D257,D258:D$1000,N258:N$1000,,0,1)*-E257*MAX(1,M257/IFERROR(_xlfn.XLOOKUP(D257,D258:D$1000,L258:L$1000,,0,1),M257)),0),0)</f>
        <v>0</v>
      </c>
      <c r="P257" s="56" t="str" cm="1">
        <f t="array" ref="P257">IF(O257&lt;0,1,IF(E257&lt;0, _xlfn.LET(_xlpm.v_cant, ABS(E257), _xlpm.v_fecha, B257, _xlpm.v_ticker, D257, _xlpm.rango_f, B258:B$1000, _xlpm.rango_t, E258:E$1000, _xlpm.filtro, D258:D$1000=_xlpm.v_ticker, _xlpm.c_fechas, _xlfn._xlws.FILTER(_xlpm.rango_f, _xlpm.filtro*(_xlpm.rango_t&gt;0), _xlpm.v_fecha), _xlpm.c_cants, _xlfn._xlws.FILTER(_xlpm.rango_t, _xlpm.filtro*(_xlpm.rango_t&gt;0), 0), _xlpm.v_acums_pasadas, ABS(SUMIFS(E258:E$1000, D258:D$1000, _xlpm.v_ticker, E258:E$1000,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8" spans="1:16" x14ac:dyDescent="0.45">
      <c r="A258" s="3" t="s">
        <v>43</v>
      </c>
      <c r="B258" s="4">
        <f t="shared" ref="B258:B321" si="4">DATEVALUE(A258)</f>
        <v>45660</v>
      </c>
      <c r="C258" s="3" t="s">
        <v>90</v>
      </c>
      <c r="D258" s="3" t="s">
        <v>184</v>
      </c>
      <c r="E258" s="3">
        <v>0.63565048999999996</v>
      </c>
      <c r="F258" s="3">
        <v>6.6288</v>
      </c>
      <c r="G258" s="3">
        <v>-4.21</v>
      </c>
      <c r="H258" s="5">
        <v>20.6708</v>
      </c>
      <c r="I258" s="8">
        <f>SUMIF(D258:D$1000,D258,E258:E$1000)</f>
        <v>0.63565048999999996</v>
      </c>
      <c r="J258" s="9" cm="1">
        <f t="array" ref="J258">IF(I258&gt;IFERROR(_xlfn.XLOOKUP(D258,D259:D$1000,I259:I$1000,,0,1),0),(IFERROR(_xlfn.XLOOKUP(D258,D259:D$1000,J259:J$1000,,0,1),0)*IFERROR(_xlfn.XLOOKUP(D258,D259:D$1000,I259:I$1000,,0,1),0)-G258*H258)/I258,_xlfn.XLOOKUP(D258,D259:D$1000,J259:J$1000,,0,1))</f>
        <v>136.905531214174</v>
      </c>
      <c r="K258" s="10" cm="1">
        <f t="array" ref="K258">IFERROR(IF(I258&lt;_xlfn.XLOOKUP(D258,D259:D$1000,I259:I$1000,,0,1),G258*H258-_xlfn.XLOOKUP(D258,D259:D$1000,J259:J$1000,,0,1)*-E258,0),0)</f>
        <v>0</v>
      </c>
      <c r="L258" s="56">
        <v>138.34299999999999</v>
      </c>
      <c r="M258" s="56">
        <v>137.94900000000001</v>
      </c>
      <c r="N258" s="59" cm="1">
        <f t="array" ref="N258">IF(I258&gt;_xlfn.XLOOKUP(D258,D259:D$1000,I259:I$1000,0,0,1),(_xlfn.XLOOKUP(D258,D259:D$1000,N259:N$1000,0,0,1)*MAX(1,L258/_xlfn.XLOOKUP(D258,D259:D$1000,L259:L$1000,L258,0,1))*_xlfn.XLOOKUP(D258,D259:D$1000,I259:I$1000,0,0,1)-G258*H258)/I258,_xlfn.XLOOKUP(D258,D259:D$1000,N259:N$1000,,0,1)*MAX(1,L258/_xlfn.XLOOKUP(D258,D259:D$1000,L259:L$1000,,0,1)))</f>
        <v>136.905531214174</v>
      </c>
      <c r="O258" s="59" cm="1">
        <f t="array" ref="O258">IFERROR(IF(I258&lt;_xlfn.XLOOKUP(D258,D259:D$1000,I259:I$1000,,0,1),G258*H258-_xlfn.XLOOKUP(D258,D259:D$1000,N259:N$1000,,0,1)*-E258*MAX(1,M258/IFERROR(_xlfn.XLOOKUP(D258,D259:D$1000,L259:L$1000,,0,1),M258)),0),0)</f>
        <v>0</v>
      </c>
      <c r="P258" s="56" t="str" cm="1">
        <f t="array" ref="P258">IF(O258&lt;0,1,IF(E258&lt;0, _xlfn.LET(_xlpm.v_cant, ABS(E258), _xlpm.v_fecha, B258, _xlpm.v_ticker, D258, _xlpm.rango_f, B259:B$1000, _xlpm.rango_t, E259:E$1000, _xlpm.filtro, D259:D$1000=_xlpm.v_ticker, _xlpm.c_fechas, _xlfn._xlws.FILTER(_xlpm.rango_f, _xlpm.filtro*(_xlpm.rango_t&gt;0), _xlpm.v_fecha), _xlpm.c_cants, _xlfn._xlws.FILTER(_xlpm.rango_t, _xlpm.filtro*(_xlpm.rango_t&gt;0), 0), _xlpm.v_acums_pasadas, ABS(SUMIFS(E259:E$1000, D259:D$1000, _xlpm.v_ticker, E259:E$1000,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59" spans="1:16" x14ac:dyDescent="0.45">
      <c r="A259" s="3" t="s">
        <v>43</v>
      </c>
      <c r="B259" s="4">
        <f t="shared" si="4"/>
        <v>45660</v>
      </c>
      <c r="C259" s="3" t="s">
        <v>90</v>
      </c>
      <c r="D259" s="3" t="s">
        <v>146</v>
      </c>
      <c r="E259" s="3">
        <v>3</v>
      </c>
      <c r="F259" s="3">
        <v>6.8188000000000004</v>
      </c>
      <c r="G259" s="3">
        <v>-20.46</v>
      </c>
      <c r="H259" s="5">
        <v>20.6708</v>
      </c>
      <c r="I259" s="8">
        <f>SUMIF(D259:D$1000,D259,E259:E$1000)</f>
        <v>3.5343462099999998</v>
      </c>
      <c r="J259" s="9" cm="1">
        <f t="array" ref="J259">IF(I259&gt;IFERROR(_xlfn.XLOOKUP(D259,D260:D$1000,I260:I$1000,,0,1),0),(IFERROR(_xlfn.XLOOKUP(D259,D260:D$1000,J260:J$1000,,0,1),0)*IFERROR(_xlfn.XLOOKUP(D259,D260:D$1000,I260:I$1000,,0,1),0)-G259*H259)/I259,_xlfn.XLOOKUP(D259,D260:D$1000,J260:J$1000,,0,1))</f>
        <v>140.95005140993248</v>
      </c>
      <c r="K259" s="10" cm="1">
        <f t="array" ref="K259">IFERROR(IF(I259&lt;_xlfn.XLOOKUP(D259,D260:D$1000,I260:I$1000,,0,1),G259*H259-_xlfn.XLOOKUP(D259,D260:D$1000,J260:J$1000,,0,1)*-E259,0),0)</f>
        <v>0</v>
      </c>
      <c r="L259" s="56">
        <v>138.34299999999999</v>
      </c>
      <c r="M259" s="56">
        <v>137.94900000000001</v>
      </c>
      <c r="N259" s="59" cm="1">
        <f t="array" ref="N259">IF(I259&gt;_xlfn.XLOOKUP(D259,D260:D$1000,I260:I$1000,0,0,1),(_xlfn.XLOOKUP(D259,D260:D$1000,N260:N$1000,0,0,1)*MAX(1,L259/_xlfn.XLOOKUP(D259,D260:D$1000,L260:L$1000,L259,0,1))*_xlfn.XLOOKUP(D259,D260:D$1000,I260:I$1000,0,0,1)-G259*H259)/I259,_xlfn.XLOOKUP(D259,D260:D$1000,N260:N$1000,,0,1)*MAX(1,L259/_xlfn.XLOOKUP(D259,D260:D$1000,L260:L$1000,,0,1)))</f>
        <v>140.95005140993248</v>
      </c>
      <c r="O259" s="59" cm="1">
        <f t="array" ref="O259">IFERROR(IF(I259&lt;_xlfn.XLOOKUP(D259,D260:D$1000,I260:I$1000,,0,1),G259*H259-_xlfn.XLOOKUP(D259,D260:D$1000,N260:N$1000,,0,1)*-E259*MAX(1,M259/IFERROR(_xlfn.XLOOKUP(D259,D260:D$1000,L260:L$1000,,0,1),M259)),0),0)</f>
        <v>0</v>
      </c>
      <c r="P259" s="56" t="str" cm="1">
        <f t="array" ref="P259">IF(O259&lt;0,1,IF(E259&lt;0, _xlfn.LET(_xlpm.v_cant, ABS(E259), _xlpm.v_fecha, B259, _xlpm.v_ticker, D259, _xlpm.rango_f, B260:B$1000, _xlpm.rango_t, E260:E$1000, _xlpm.filtro, D260:D$1000=_xlpm.v_ticker, _xlpm.c_fechas, _xlfn._xlws.FILTER(_xlpm.rango_f, _xlpm.filtro*(_xlpm.rango_t&gt;0), _xlpm.v_fecha), _xlpm.c_cants, _xlfn._xlws.FILTER(_xlpm.rango_t, _xlpm.filtro*(_xlpm.rango_t&gt;0), 0), _xlpm.v_acums_pasadas, ABS(SUMIFS(E260:E$1000, D260:D$1000, _xlpm.v_ticker, E260:E$1000,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0" spans="1:16" x14ac:dyDescent="0.45">
      <c r="A260" s="3" t="s">
        <v>43</v>
      </c>
      <c r="B260" s="4">
        <f t="shared" si="4"/>
        <v>45660</v>
      </c>
      <c r="C260" s="3" t="s">
        <v>90</v>
      </c>
      <c r="D260" s="3" t="s">
        <v>146</v>
      </c>
      <c r="E260" s="3">
        <v>0.53434621000000004</v>
      </c>
      <c r="F260" s="3">
        <v>6.8188000000000004</v>
      </c>
      <c r="G260" s="3">
        <v>-3.64</v>
      </c>
      <c r="H260" s="5">
        <v>20.6708</v>
      </c>
      <c r="I260" s="8">
        <f>SUMIF(D260:D$1000,D260,E260:E$1000)</f>
        <v>0.53434621000000004</v>
      </c>
      <c r="J260" s="9" cm="1">
        <f t="array" ref="J260">IF(I260&gt;IFERROR(_xlfn.XLOOKUP(D260,D261:D$1000,I261:I$1000,,0,1),0),(IFERROR(_xlfn.XLOOKUP(D260,D261:D$1000,J261:J$1000,,0,1),0)*IFERROR(_xlfn.XLOOKUP(D260,D261:D$1000,I261:I$1000,,0,1),0)-G260*H260)/I260,_xlfn.XLOOKUP(D260,D261:D$1000,J261:J$1000,,0,1))</f>
        <v>140.81079006810958</v>
      </c>
      <c r="K260" s="10" cm="1">
        <f t="array" ref="K260">IFERROR(IF(I260&lt;_xlfn.XLOOKUP(D260,D261:D$1000,I261:I$1000,,0,1),G260*H260-_xlfn.XLOOKUP(D260,D261:D$1000,J261:J$1000,,0,1)*-E260,0),0)</f>
        <v>0</v>
      </c>
      <c r="L260" s="56">
        <v>138.34299999999999</v>
      </c>
      <c r="M260" s="56">
        <v>137.94900000000001</v>
      </c>
      <c r="N260" s="59" cm="1">
        <f t="array" ref="N260">IF(I260&gt;_xlfn.XLOOKUP(D260,D261:D$1000,I261:I$1000,0,0,1),(_xlfn.XLOOKUP(D260,D261:D$1000,N261:N$1000,0,0,1)*MAX(1,L260/_xlfn.XLOOKUP(D260,D261:D$1000,L261:L$1000,L260,0,1))*_xlfn.XLOOKUP(D260,D261:D$1000,I261:I$1000,0,0,1)-G260*H260)/I260,_xlfn.XLOOKUP(D260,D261:D$1000,N261:N$1000,,0,1)*MAX(1,L260/_xlfn.XLOOKUP(D260,D261:D$1000,L261:L$1000,,0,1)))</f>
        <v>140.81079006810958</v>
      </c>
      <c r="O260" s="59" cm="1">
        <f t="array" ref="O260">IFERROR(IF(I260&lt;_xlfn.XLOOKUP(D260,D261:D$1000,I261:I$1000,,0,1),G260*H260-_xlfn.XLOOKUP(D260,D261:D$1000,N261:N$1000,,0,1)*-E260*MAX(1,M260/IFERROR(_xlfn.XLOOKUP(D260,D261:D$1000,L261:L$1000,,0,1),M260)),0),0)</f>
        <v>0</v>
      </c>
      <c r="P260" s="56" t="str" cm="1">
        <f t="array" ref="P260">IF(O260&lt;0,1,IF(E260&lt;0, _xlfn.LET(_xlpm.v_cant, ABS(E260), _xlpm.v_fecha, B260, _xlpm.v_ticker, D260, _xlpm.rango_f, B261:B$1000, _xlpm.rango_t, E261:E$1000, _xlpm.filtro, D261:D$1000=_xlpm.v_ticker, _xlpm.c_fechas, _xlfn._xlws.FILTER(_xlpm.rango_f, _xlpm.filtro*(_xlpm.rango_t&gt;0), _xlpm.v_fecha), _xlpm.c_cants, _xlfn._xlws.FILTER(_xlpm.rango_t, _xlpm.filtro*(_xlpm.rango_t&gt;0), 0), _xlpm.v_acums_pasadas, ABS(SUMIFS(E261:E$1000, D261:D$1000, _xlpm.v_ticker, E261:E$1000,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1" spans="1:16" x14ac:dyDescent="0.45">
      <c r="A261" s="3" t="s">
        <v>43</v>
      </c>
      <c r="B261" s="4">
        <f t="shared" si="4"/>
        <v>45660</v>
      </c>
      <c r="C261" s="3" t="s">
        <v>90</v>
      </c>
      <c r="D261" s="3" t="s">
        <v>147</v>
      </c>
      <c r="E261" s="3">
        <v>2</v>
      </c>
      <c r="F261" s="3">
        <v>10.3588</v>
      </c>
      <c r="G261" s="3">
        <v>-20.72</v>
      </c>
      <c r="H261" s="5">
        <v>20.6708</v>
      </c>
      <c r="I261" s="8">
        <f>SUMIF(D261:D$1000,D261,E261:E$1000)</f>
        <v>2.3265243</v>
      </c>
      <c r="J261" s="9" cm="1">
        <f t="array" ref="J261">IF(I261&gt;IFERROR(_xlfn.XLOOKUP(D261,D262:D$1000,I262:I$1000,,0,1),0),(IFERROR(_xlfn.XLOOKUP(D261,D262:D$1000,J262:J$1000,,0,1),0)*IFERROR(_xlfn.XLOOKUP(D261,D262:D$1000,I262:I$1000,,0,1),0)-G261*H261)/I261,_xlfn.XLOOKUP(D261,D262:D$1000,J262:J$1000,,0,1))</f>
        <v>214.12468376109373</v>
      </c>
      <c r="K261" s="10" cm="1">
        <f t="array" ref="K261">IFERROR(IF(I261&lt;_xlfn.XLOOKUP(D261,D262:D$1000,I262:I$1000,,0,1),G261*H261-_xlfn.XLOOKUP(D261,D262:D$1000,J262:J$1000,,0,1)*-E261,0),0)</f>
        <v>0</v>
      </c>
      <c r="L261" s="56">
        <v>138.34299999999999</v>
      </c>
      <c r="M261" s="56">
        <v>137.94900000000001</v>
      </c>
      <c r="N261" s="59" cm="1">
        <f t="array" ref="N261">IF(I261&gt;_xlfn.XLOOKUP(D261,D262:D$1000,I262:I$1000,0,0,1),(_xlfn.XLOOKUP(D261,D262:D$1000,N262:N$1000,0,0,1)*MAX(1,L261/_xlfn.XLOOKUP(D261,D262:D$1000,L262:L$1000,L261,0,1))*_xlfn.XLOOKUP(D261,D262:D$1000,I262:I$1000,0,0,1)-G261*H261)/I261,_xlfn.XLOOKUP(D261,D262:D$1000,N262:N$1000,,0,1)*MAX(1,L261/_xlfn.XLOOKUP(D261,D262:D$1000,L262:L$1000,,0,1)))</f>
        <v>214.12468376109373</v>
      </c>
      <c r="O261" s="59" cm="1">
        <f t="array" ref="O261">IFERROR(IF(I261&lt;_xlfn.XLOOKUP(D261,D262:D$1000,I262:I$1000,,0,1),G261*H261-_xlfn.XLOOKUP(D261,D262:D$1000,N262:N$1000,,0,1)*-E261*MAX(1,M261/IFERROR(_xlfn.XLOOKUP(D261,D262:D$1000,L262:L$1000,,0,1),M261)),0),0)</f>
        <v>0</v>
      </c>
      <c r="P261" s="56" t="str" cm="1">
        <f t="array" ref="P261">IF(O261&lt;0,1,IF(E261&lt;0, _xlfn.LET(_xlpm.v_cant, ABS(E261), _xlpm.v_fecha, B261, _xlpm.v_ticker, D261, _xlpm.rango_f, B262:B$1000, _xlpm.rango_t, E262:E$1000, _xlpm.filtro, D262:D$1000=_xlpm.v_ticker, _xlpm.c_fechas, _xlfn._xlws.FILTER(_xlpm.rango_f, _xlpm.filtro*(_xlpm.rango_t&gt;0), _xlpm.v_fecha), _xlpm.c_cants, _xlfn._xlws.FILTER(_xlpm.rango_t, _xlpm.filtro*(_xlpm.rango_t&gt;0), 0), _xlpm.v_acums_pasadas, ABS(SUMIFS(E262:E$1000, D262:D$1000, _xlpm.v_ticker, E262:E$1000,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2" spans="1:16" x14ac:dyDescent="0.45">
      <c r="A262" s="3" t="s">
        <v>43</v>
      </c>
      <c r="B262" s="4">
        <f t="shared" si="4"/>
        <v>45660</v>
      </c>
      <c r="C262" s="3" t="s">
        <v>90</v>
      </c>
      <c r="D262" s="3" t="s">
        <v>147</v>
      </c>
      <c r="E262" s="3">
        <v>0.32652429999999999</v>
      </c>
      <c r="F262" s="3">
        <v>10.3588</v>
      </c>
      <c r="G262" s="3">
        <v>-3.38</v>
      </c>
      <c r="H262" s="5">
        <v>20.6708</v>
      </c>
      <c r="I262" s="8">
        <f>SUMIF(D262:D$1000,D262,E262:E$1000)</f>
        <v>0.32652429999999999</v>
      </c>
      <c r="J262" s="9" cm="1">
        <f t="array" ref="J262">IF(I262&gt;IFERROR(_xlfn.XLOOKUP(D262,D263:D$1000,I263:I$1000,,0,1),0),(IFERROR(_xlfn.XLOOKUP(D262,D263:D$1000,J263:J$1000,,0,1),0)*IFERROR(_xlfn.XLOOKUP(D262,D263:D$1000,I263:I$1000,,0,1),0)-G262*H262)/I262,_xlfn.XLOOKUP(D262,D263:D$1000,J263:J$1000,,0,1))</f>
        <v>213.97275486081742</v>
      </c>
      <c r="K262" s="10" cm="1">
        <f t="array" ref="K262">IFERROR(IF(I262&lt;_xlfn.XLOOKUP(D262,D263:D$1000,I263:I$1000,,0,1),G262*H262-_xlfn.XLOOKUP(D262,D263:D$1000,J263:J$1000,,0,1)*-E262,0),0)</f>
        <v>0</v>
      </c>
      <c r="L262" s="56">
        <v>138.34299999999999</v>
      </c>
      <c r="M262" s="56">
        <v>137.94900000000001</v>
      </c>
      <c r="N262" s="59" cm="1">
        <f t="array" ref="N262">IF(I262&gt;_xlfn.XLOOKUP(D262,D263:D$1000,I263:I$1000,0,0,1),(_xlfn.XLOOKUP(D262,D263:D$1000,N263:N$1000,0,0,1)*MAX(1,L262/_xlfn.XLOOKUP(D262,D263:D$1000,L263:L$1000,L262,0,1))*_xlfn.XLOOKUP(D262,D263:D$1000,I263:I$1000,0,0,1)-G262*H262)/I262,_xlfn.XLOOKUP(D262,D263:D$1000,N263:N$1000,,0,1)*MAX(1,L262/_xlfn.XLOOKUP(D262,D263:D$1000,L263:L$1000,,0,1)))</f>
        <v>213.97275486081742</v>
      </c>
      <c r="O262" s="59" cm="1">
        <f t="array" ref="O262">IFERROR(IF(I262&lt;_xlfn.XLOOKUP(D262,D263:D$1000,I263:I$1000,,0,1),G262*H262-_xlfn.XLOOKUP(D262,D263:D$1000,N263:N$1000,,0,1)*-E262*MAX(1,M262/IFERROR(_xlfn.XLOOKUP(D262,D263:D$1000,L263:L$1000,,0,1),M262)),0),0)</f>
        <v>0</v>
      </c>
      <c r="P262" s="56" t="str" cm="1">
        <f t="array" ref="P262">IF(O262&lt;0,1,IF(E262&lt;0, _xlfn.LET(_xlpm.v_cant, ABS(E262), _xlpm.v_fecha, B262, _xlpm.v_ticker, D262, _xlpm.rango_f, B263:B$1000, _xlpm.rango_t, E263:E$1000, _xlpm.filtro, D263:D$1000=_xlpm.v_ticker, _xlpm.c_fechas, _xlfn._xlws.FILTER(_xlpm.rango_f, _xlpm.filtro*(_xlpm.rango_t&gt;0), _xlpm.v_fecha), _xlpm.c_cants, _xlfn._xlws.FILTER(_xlpm.rango_t, _xlpm.filtro*(_xlpm.rango_t&gt;0), 0), _xlpm.v_acums_pasadas, ABS(SUMIFS(E263:E$1000, D263:D$1000, _xlpm.v_ticker, E263:E$1000,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3" spans="1:16" x14ac:dyDescent="0.45">
      <c r="A263" s="3" t="s">
        <v>12</v>
      </c>
      <c r="B263" s="4">
        <f t="shared" si="4"/>
        <v>45656</v>
      </c>
      <c r="C263" s="3" t="s">
        <v>90</v>
      </c>
      <c r="D263" s="3" t="s">
        <v>121</v>
      </c>
      <c r="E263" s="3">
        <v>8</v>
      </c>
      <c r="F263" s="3">
        <v>4.5488</v>
      </c>
      <c r="G263" s="3">
        <v>-36.39</v>
      </c>
      <c r="H263" s="5">
        <v>20.510300000000001</v>
      </c>
      <c r="I263" s="8">
        <f>SUMIF(D263:D$1000,D263,E263:E$1000)</f>
        <v>8.5011431500000008</v>
      </c>
      <c r="J263" s="9" cm="1">
        <f t="array" ref="J263">IF(I263&gt;IFERROR(_xlfn.XLOOKUP(D263,D264:D$1000,I264:I$1000,,0,1),0),(IFERROR(_xlfn.XLOOKUP(D263,D264:D$1000,J264:J$1000,,0,1),0)*IFERROR(_xlfn.XLOOKUP(D263,D264:D$1000,I264:I$1000,,0,1),0)-G263*H263)/I263,_xlfn.XLOOKUP(D263,D264:D$1000,J264:J$1000,,0,1))</f>
        <v>93.297252734768961</v>
      </c>
      <c r="K263" s="10" cm="1">
        <f t="array" ref="K263">IFERROR(IF(I263&lt;_xlfn.XLOOKUP(D263,D264:D$1000,I264:I$1000,,0,1),G263*H263-_xlfn.XLOOKUP(D263,D264:D$1000,J264:J$1000,,0,1)*-E263,0),0)</f>
        <v>0</v>
      </c>
      <c r="L263" s="56">
        <v>137.94900000000001</v>
      </c>
      <c r="M263" s="56">
        <v>137.42400000000001</v>
      </c>
      <c r="N263" s="59" cm="1">
        <f t="array" ref="N263">IF(I263&gt;_xlfn.XLOOKUP(D263,D264:D$1000,I264:I$1000,0,0,1),(_xlfn.XLOOKUP(D263,D264:D$1000,N264:N$1000,0,0,1)*MAX(1,L263/_xlfn.XLOOKUP(D263,D264:D$1000,L264:L$1000,L263,0,1))*_xlfn.XLOOKUP(D263,D264:D$1000,I264:I$1000,0,0,1)-G263*H263)/I263,_xlfn.XLOOKUP(D263,D264:D$1000,N264:N$1000,,0,1)*MAX(1,L263/_xlfn.XLOOKUP(D263,D264:D$1000,L264:L$1000,,0,1)))</f>
        <v>93.297252734768961</v>
      </c>
      <c r="O263" s="59" cm="1">
        <f t="array" ref="O263">IFERROR(IF(I263&lt;_xlfn.XLOOKUP(D263,D264:D$1000,I264:I$1000,,0,1),G263*H263-_xlfn.XLOOKUP(D263,D264:D$1000,N264:N$1000,,0,1)*-E263*MAX(1,M263/IFERROR(_xlfn.XLOOKUP(D263,D264:D$1000,L264:L$1000,,0,1),M263)),0),0)</f>
        <v>0</v>
      </c>
      <c r="P263" s="56" t="str" cm="1">
        <f t="array" ref="P263">IF(O263&lt;0,1,IF(E263&lt;0, _xlfn.LET(_xlpm.v_cant, ABS(E263), _xlpm.v_fecha, B263, _xlpm.v_ticker, D263, _xlpm.rango_f, B264:B$1000, _xlpm.rango_t, E264:E$1000, _xlpm.filtro, D264:D$1000=_xlpm.v_ticker, _xlpm.c_fechas, _xlfn._xlws.FILTER(_xlpm.rango_f, _xlpm.filtro*(_xlpm.rango_t&gt;0), _xlpm.v_fecha), _xlpm.c_cants, _xlfn._xlws.FILTER(_xlpm.rango_t, _xlpm.filtro*(_xlpm.rango_t&gt;0), 0), _xlpm.v_acums_pasadas, ABS(SUMIFS(E264:E$1000, D264:D$1000, _xlpm.v_ticker, E264:E$1000,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4" spans="1:16" x14ac:dyDescent="0.45">
      <c r="A264" s="3" t="s">
        <v>12</v>
      </c>
      <c r="B264" s="4">
        <f t="shared" si="4"/>
        <v>45656</v>
      </c>
      <c r="C264" s="3" t="s">
        <v>90</v>
      </c>
      <c r="D264" s="3" t="s">
        <v>121</v>
      </c>
      <c r="E264" s="3">
        <v>0.50114314999999998</v>
      </c>
      <c r="F264" s="3">
        <v>4.5488</v>
      </c>
      <c r="G264" s="3">
        <v>-2.2799999999999998</v>
      </c>
      <c r="H264" s="5">
        <v>20.510300000000001</v>
      </c>
      <c r="I264" s="8">
        <f>SUMIF(D264:D$1000,D264,E264:E$1000)</f>
        <v>0.50114314999999998</v>
      </c>
      <c r="J264" s="9" cm="1">
        <f t="array" ref="J264">IF(I264&gt;IFERROR(_xlfn.XLOOKUP(D264,D265:D$1000,I265:I$1000,,0,1),0),(IFERROR(_xlfn.XLOOKUP(D264,D265:D$1000,J265:J$1000,,0,1),0)*IFERROR(_xlfn.XLOOKUP(D264,D265:D$1000,I265:I$1000,,0,1),0)-G264*H264)/I264,_xlfn.XLOOKUP(D264,D265:D$1000,J265:J$1000,,0,1))</f>
        <v>93.313625059027544</v>
      </c>
      <c r="K264" s="10" cm="1">
        <f t="array" ref="K264">IFERROR(IF(I264&lt;_xlfn.XLOOKUP(D264,D265:D$1000,I265:I$1000,,0,1),G264*H264-_xlfn.XLOOKUP(D264,D265:D$1000,J265:J$1000,,0,1)*-E264,0),0)</f>
        <v>0</v>
      </c>
      <c r="L264" s="56">
        <v>137.94900000000001</v>
      </c>
      <c r="M264" s="56">
        <v>137.42400000000001</v>
      </c>
      <c r="N264" s="59" cm="1">
        <f t="array" ref="N264">IF(I264&gt;_xlfn.XLOOKUP(D264,D265:D$1000,I265:I$1000,0,0,1),(_xlfn.XLOOKUP(D264,D265:D$1000,N265:N$1000,0,0,1)*MAX(1,L264/_xlfn.XLOOKUP(D264,D265:D$1000,L265:L$1000,L264,0,1))*_xlfn.XLOOKUP(D264,D265:D$1000,I265:I$1000,0,0,1)-G264*H264)/I264,_xlfn.XLOOKUP(D264,D265:D$1000,N265:N$1000,,0,1)*MAX(1,L264/_xlfn.XLOOKUP(D264,D265:D$1000,L265:L$1000,,0,1)))</f>
        <v>93.313625059027544</v>
      </c>
      <c r="O264" s="59" cm="1">
        <f t="array" ref="O264">IFERROR(IF(I264&lt;_xlfn.XLOOKUP(D264,D265:D$1000,I265:I$1000,,0,1),G264*H264-_xlfn.XLOOKUP(D264,D265:D$1000,N265:N$1000,,0,1)*-E264*MAX(1,M264/IFERROR(_xlfn.XLOOKUP(D264,D265:D$1000,L265:L$1000,,0,1),M264)),0),0)</f>
        <v>0</v>
      </c>
      <c r="P264" s="56" t="str" cm="1">
        <f t="array" ref="P264">IF(O264&lt;0,1,IF(E264&lt;0, _xlfn.LET(_xlpm.v_cant, ABS(E264), _xlpm.v_fecha, B264, _xlpm.v_ticker, D264, _xlpm.rango_f, B265:B$1000, _xlpm.rango_t, E265:E$1000, _xlpm.filtro, D265:D$1000=_xlpm.v_ticker, _xlpm.c_fechas, _xlfn._xlws.FILTER(_xlpm.rango_f, _xlpm.filtro*(_xlpm.rango_t&gt;0), _xlpm.v_fecha), _xlpm.c_cants, _xlfn._xlws.FILTER(_xlpm.rango_t, _xlpm.filtro*(_xlpm.rango_t&gt;0), 0), _xlpm.v_acums_pasadas, ABS(SUMIFS(E265:E$1000, D265:D$1000, _xlpm.v_ticker, E265:E$1000,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5" spans="1:16" x14ac:dyDescent="0.45">
      <c r="A265" s="3" t="s">
        <v>12</v>
      </c>
      <c r="B265" s="4">
        <f t="shared" si="4"/>
        <v>45656</v>
      </c>
      <c r="C265" s="3" t="s">
        <v>90</v>
      </c>
      <c r="D265" s="3" t="s">
        <v>122</v>
      </c>
      <c r="E265" s="3">
        <v>1</v>
      </c>
      <c r="F265" s="3">
        <v>12.748799999999999</v>
      </c>
      <c r="G265" s="3">
        <v>-12.75</v>
      </c>
      <c r="H265" s="5">
        <v>20.510300000000001</v>
      </c>
      <c r="I265" s="8">
        <f>SUMIF(D265:D$1000,D265,E265:E$1000)</f>
        <v>1.8958647</v>
      </c>
      <c r="J265" s="9" cm="1">
        <f t="array" ref="J265">IF(I265&gt;IFERROR(_xlfn.XLOOKUP(D265,D266:D$1000,I266:I$1000,,0,1),0),(IFERROR(_xlfn.XLOOKUP(D265,D266:D$1000,J266:J$1000,,0,1),0)*IFERROR(_xlfn.XLOOKUP(D265,D266:D$1000,I266:I$1000,,0,1),0)-G265*H265)/I265,_xlfn.XLOOKUP(D265,D266:D$1000,J266:J$1000,,0,1))</f>
        <v>261.48171385858922</v>
      </c>
      <c r="K265" s="10" cm="1">
        <f t="array" ref="K265">IFERROR(IF(I265&lt;_xlfn.XLOOKUP(D265,D266:D$1000,I266:I$1000,,0,1),G265*H265-_xlfn.XLOOKUP(D265,D266:D$1000,J266:J$1000,,0,1)*-E265,0),0)</f>
        <v>0</v>
      </c>
      <c r="L265" s="56">
        <v>137.94900000000001</v>
      </c>
      <c r="M265" s="56">
        <v>137.42400000000001</v>
      </c>
      <c r="N265" s="59" cm="1">
        <f t="array" ref="N265">IF(I265&gt;_xlfn.XLOOKUP(D265,D266:D$1000,I266:I$1000,0,0,1),(_xlfn.XLOOKUP(D265,D266:D$1000,N266:N$1000,0,0,1)*MAX(1,L265/_xlfn.XLOOKUP(D265,D266:D$1000,L266:L$1000,L265,0,1))*_xlfn.XLOOKUP(D265,D266:D$1000,I266:I$1000,0,0,1)-G265*H265)/I265,_xlfn.XLOOKUP(D265,D266:D$1000,N266:N$1000,,0,1)*MAX(1,L265/_xlfn.XLOOKUP(D265,D266:D$1000,L266:L$1000,,0,1)))</f>
        <v>261.48171385858922</v>
      </c>
      <c r="O265" s="59" cm="1">
        <f t="array" ref="O265">IFERROR(IF(I265&lt;_xlfn.XLOOKUP(D265,D266:D$1000,I266:I$1000,,0,1),G265*H265-_xlfn.XLOOKUP(D265,D266:D$1000,N266:N$1000,,0,1)*-E265*MAX(1,M265/IFERROR(_xlfn.XLOOKUP(D265,D266:D$1000,L266:L$1000,,0,1),M265)),0),0)</f>
        <v>0</v>
      </c>
      <c r="P265" s="56" t="str" cm="1">
        <f t="array" ref="P265">IF(O265&lt;0,1,IF(E265&lt;0, _xlfn.LET(_xlpm.v_cant, ABS(E265), _xlpm.v_fecha, B265, _xlpm.v_ticker, D265, _xlpm.rango_f, B266:B$1000, _xlpm.rango_t, E266:E$1000, _xlpm.filtro, D266:D$1000=_xlpm.v_ticker, _xlpm.c_fechas, _xlfn._xlws.FILTER(_xlpm.rango_f, _xlpm.filtro*(_xlpm.rango_t&gt;0), _xlpm.v_fecha), _xlpm.c_cants, _xlfn._xlws.FILTER(_xlpm.rango_t, _xlpm.filtro*(_xlpm.rango_t&gt;0), 0), _xlpm.v_acums_pasadas, ABS(SUMIFS(E266:E$1000, D266:D$1000, _xlpm.v_ticker, E266:E$1000,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6" spans="1:16" x14ac:dyDescent="0.45">
      <c r="A266" s="3" t="s">
        <v>12</v>
      </c>
      <c r="B266" s="4">
        <f t="shared" si="4"/>
        <v>45656</v>
      </c>
      <c r="C266" s="3" t="s">
        <v>90</v>
      </c>
      <c r="D266" s="3" t="s">
        <v>122</v>
      </c>
      <c r="E266" s="3">
        <v>0.89586469999999996</v>
      </c>
      <c r="F266" s="3">
        <v>12.748799999999999</v>
      </c>
      <c r="G266" s="3">
        <v>-11.42</v>
      </c>
      <c r="H266" s="5">
        <v>20.510300000000001</v>
      </c>
      <c r="I266" s="8">
        <f>SUMIF(D266:D$1000,D266,E266:E$1000)</f>
        <v>0.89586469999999996</v>
      </c>
      <c r="J266" s="9" cm="1">
        <f t="array" ref="J266">IF(I266&gt;IFERROR(_xlfn.XLOOKUP(D266,D267:D$1000,I267:I$1000,,0,1),0),(IFERROR(_xlfn.XLOOKUP(D266,D267:D$1000,J267:J$1000,,0,1),0)*IFERROR(_xlfn.XLOOKUP(D266,D267:D$1000,I267:I$1000,,0,1),0)-G266*H266)/I266,_xlfn.XLOOKUP(D266,D267:D$1000,J267:J$1000,,0,1))</f>
        <v>261.45424191845046</v>
      </c>
      <c r="K266" s="10" cm="1">
        <f t="array" ref="K266">IFERROR(IF(I266&lt;_xlfn.XLOOKUP(D266,D267:D$1000,I267:I$1000,,0,1),G266*H266-_xlfn.XLOOKUP(D266,D267:D$1000,J267:J$1000,,0,1)*-E266,0),0)</f>
        <v>0</v>
      </c>
      <c r="L266" s="56">
        <v>137.94900000000001</v>
      </c>
      <c r="M266" s="56">
        <v>137.42400000000001</v>
      </c>
      <c r="N266" s="59" cm="1">
        <f t="array" ref="N266">IF(I266&gt;_xlfn.XLOOKUP(D266,D267:D$1000,I267:I$1000,0,0,1),(_xlfn.XLOOKUP(D266,D267:D$1000,N267:N$1000,0,0,1)*MAX(1,L266/_xlfn.XLOOKUP(D266,D267:D$1000,L267:L$1000,L266,0,1))*_xlfn.XLOOKUP(D266,D267:D$1000,I267:I$1000,0,0,1)-G266*H266)/I266,_xlfn.XLOOKUP(D266,D267:D$1000,N267:N$1000,,0,1)*MAX(1,L266/_xlfn.XLOOKUP(D266,D267:D$1000,L267:L$1000,,0,1)))</f>
        <v>261.45424191845046</v>
      </c>
      <c r="O266" s="59" cm="1">
        <f t="array" ref="O266">IFERROR(IF(I266&lt;_xlfn.XLOOKUP(D266,D267:D$1000,I267:I$1000,,0,1),G266*H266-_xlfn.XLOOKUP(D266,D267:D$1000,N267:N$1000,,0,1)*-E266*MAX(1,M266/IFERROR(_xlfn.XLOOKUP(D266,D267:D$1000,L267:L$1000,,0,1),M266)),0),0)</f>
        <v>0</v>
      </c>
      <c r="P266" s="56" t="str" cm="1">
        <f t="array" ref="P266">IF(O266&lt;0,1,IF(E266&lt;0, _xlfn.LET(_xlpm.v_cant, ABS(E266), _xlpm.v_fecha, B266, _xlpm.v_ticker, D266, _xlpm.rango_f, B267:B$1000, _xlpm.rango_t, E267:E$1000, _xlpm.filtro, D267:D$1000=_xlpm.v_ticker, _xlpm.c_fechas, _xlfn._xlws.FILTER(_xlpm.rango_f, _xlpm.filtro*(_xlpm.rango_t&gt;0), _xlpm.v_fecha), _xlpm.c_cants, _xlfn._xlws.FILTER(_xlpm.rango_t, _xlpm.filtro*(_xlpm.rango_t&gt;0), 0), _xlpm.v_acums_pasadas, ABS(SUMIFS(E267:E$1000, D267:D$1000, _xlpm.v_ticker, E267:E$1000,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7" spans="1:16" x14ac:dyDescent="0.45">
      <c r="A267" s="3" t="s">
        <v>12</v>
      </c>
      <c r="B267" s="4">
        <f t="shared" si="4"/>
        <v>45656</v>
      </c>
      <c r="C267" s="3" t="s">
        <v>90</v>
      </c>
      <c r="D267" s="3" t="s">
        <v>192</v>
      </c>
      <c r="E267" s="3">
        <v>8</v>
      </c>
      <c r="F267" s="3">
        <v>5.54</v>
      </c>
      <c r="G267" s="3">
        <v>-44.32</v>
      </c>
      <c r="H267" s="5">
        <v>20.510300000000001</v>
      </c>
      <c r="I267" s="8">
        <f>SUMIF(D267:D$1000,D267,E267:E$1000)</f>
        <v>8.7039711099999995</v>
      </c>
      <c r="J267" s="9" cm="1">
        <f t="array" ref="J267">IF(I267&gt;IFERROR(_xlfn.XLOOKUP(D267,D268:D$1000,I268:I$1000,,0,1),0),(IFERROR(_xlfn.XLOOKUP(D267,D268:D$1000,J268:J$1000,,0,1),0)*IFERROR(_xlfn.XLOOKUP(D267,D268:D$1000,I268:I$1000,,0,1),0)-G267*H267)/I267,_xlfn.XLOOKUP(D267,D268:D$1000,J268:J$1000,,0,1))</f>
        <v>113.62706211923539</v>
      </c>
      <c r="K267" s="10" cm="1">
        <f t="array" ref="K267">IFERROR(IF(I267&lt;_xlfn.XLOOKUP(D267,D268:D$1000,I268:I$1000,,0,1),G267*H267-_xlfn.XLOOKUP(D267,D268:D$1000,J268:J$1000,,0,1)*-E267,0),0)</f>
        <v>0</v>
      </c>
      <c r="L267" s="56">
        <v>137.94900000000001</v>
      </c>
      <c r="M267" s="56">
        <v>137.42400000000001</v>
      </c>
      <c r="N267" s="59" cm="1">
        <f t="array" ref="N267">IF(I267&gt;_xlfn.XLOOKUP(D267,D268:D$1000,I268:I$1000,0,0,1),(_xlfn.XLOOKUP(D267,D268:D$1000,N268:N$1000,0,0,1)*MAX(1,L267/_xlfn.XLOOKUP(D267,D268:D$1000,L268:L$1000,L267,0,1))*_xlfn.XLOOKUP(D267,D268:D$1000,I268:I$1000,0,0,1)-G267*H267)/I267,_xlfn.XLOOKUP(D267,D268:D$1000,N268:N$1000,,0,1)*MAX(1,L267/_xlfn.XLOOKUP(D267,D268:D$1000,L268:L$1000,,0,1)))</f>
        <v>113.62706211923539</v>
      </c>
      <c r="O267" s="59" cm="1">
        <f t="array" ref="O267">IFERROR(IF(I267&lt;_xlfn.XLOOKUP(D267,D268:D$1000,I268:I$1000,,0,1),G267*H267-_xlfn.XLOOKUP(D267,D268:D$1000,N268:N$1000,,0,1)*-E267*MAX(1,M267/IFERROR(_xlfn.XLOOKUP(D267,D268:D$1000,L268:L$1000,,0,1),M267)),0),0)</f>
        <v>0</v>
      </c>
      <c r="P267" s="56" t="str" cm="1">
        <f t="array" ref="P267">IF(O267&lt;0,1,IF(E267&lt;0, _xlfn.LET(_xlpm.v_cant, ABS(E267), _xlpm.v_fecha, B267, _xlpm.v_ticker, D267, _xlpm.rango_f, B268:B$1000, _xlpm.rango_t, E268:E$1000, _xlpm.filtro, D268:D$1000=_xlpm.v_ticker, _xlpm.c_fechas, _xlfn._xlws.FILTER(_xlpm.rango_f, _xlpm.filtro*(_xlpm.rango_t&gt;0), _xlpm.v_fecha), _xlpm.c_cants, _xlfn._xlws.FILTER(_xlpm.rango_t, _xlpm.filtro*(_xlpm.rango_t&gt;0), 0), _xlpm.v_acums_pasadas, ABS(SUMIFS(E268:E$1000, D268:D$1000, _xlpm.v_ticker, E268:E$1000,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8" spans="1:16" x14ac:dyDescent="0.45">
      <c r="A268" s="3" t="s">
        <v>12</v>
      </c>
      <c r="B268" s="4">
        <f t="shared" si="4"/>
        <v>45656</v>
      </c>
      <c r="C268" s="3" t="s">
        <v>90</v>
      </c>
      <c r="D268" s="3" t="s">
        <v>192</v>
      </c>
      <c r="E268" s="3">
        <v>0.70397111000000001</v>
      </c>
      <c r="F268" s="3">
        <v>5.54</v>
      </c>
      <c r="G268" s="3">
        <v>-3.9</v>
      </c>
      <c r="H268" s="5">
        <v>20.510300000000001</v>
      </c>
      <c r="I268" s="8">
        <f>SUMIF(D268:D$1000,D268,E268:E$1000)</f>
        <v>0.70397111000000001</v>
      </c>
      <c r="J268" s="9" cm="1">
        <f t="array" ref="J268">IF(I268&gt;IFERROR(_xlfn.XLOOKUP(D268,D269:D$1000,I269:I$1000,,0,1),0),(IFERROR(_xlfn.XLOOKUP(D268,D269:D$1000,J269:J$1000,,0,1),0)*IFERROR(_xlfn.XLOOKUP(D268,D269:D$1000,I269:I$1000,,0,1),0)-G268*H268)/I268,_xlfn.XLOOKUP(D268,D269:D$1000,J269:J$1000,,0,1))</f>
        <v>113.62706347423831</v>
      </c>
      <c r="K268" s="10" cm="1">
        <f t="array" ref="K268">IFERROR(IF(I268&lt;_xlfn.XLOOKUP(D268,D269:D$1000,I269:I$1000,,0,1),G268*H268-_xlfn.XLOOKUP(D268,D269:D$1000,J269:J$1000,,0,1)*-E268,0),0)</f>
        <v>0</v>
      </c>
      <c r="L268" s="56">
        <v>137.94900000000001</v>
      </c>
      <c r="M268" s="56">
        <v>137.42400000000001</v>
      </c>
      <c r="N268" s="59" cm="1">
        <f t="array" ref="N268">IF(I268&gt;_xlfn.XLOOKUP(D268,D269:D$1000,I269:I$1000,0,0,1),(_xlfn.XLOOKUP(D268,D269:D$1000,N269:N$1000,0,0,1)*MAX(1,L268/_xlfn.XLOOKUP(D268,D269:D$1000,L269:L$1000,L268,0,1))*_xlfn.XLOOKUP(D268,D269:D$1000,I269:I$1000,0,0,1)-G268*H268)/I268,_xlfn.XLOOKUP(D268,D269:D$1000,N269:N$1000,,0,1)*MAX(1,L268/_xlfn.XLOOKUP(D268,D269:D$1000,L269:L$1000,,0,1)))</f>
        <v>113.62706347423831</v>
      </c>
      <c r="O268" s="59" cm="1">
        <f t="array" ref="O268">IFERROR(IF(I268&lt;_xlfn.XLOOKUP(D268,D269:D$1000,I269:I$1000,,0,1),G268*H268-_xlfn.XLOOKUP(D268,D269:D$1000,N269:N$1000,,0,1)*-E268*MAX(1,M268/IFERROR(_xlfn.XLOOKUP(D268,D269:D$1000,L269:L$1000,,0,1),M268)),0),0)</f>
        <v>0</v>
      </c>
      <c r="P268" s="56" t="str" cm="1">
        <f t="array" ref="P268">IF(O268&lt;0,1,IF(E268&lt;0, _xlfn.LET(_xlpm.v_cant, ABS(E268), _xlpm.v_fecha, B268, _xlpm.v_ticker, D268, _xlpm.rango_f, B269:B$1000, _xlpm.rango_t, E269:E$1000, _xlpm.filtro, D269:D$1000=_xlpm.v_ticker, _xlpm.c_fechas, _xlfn._xlws.FILTER(_xlpm.rango_f, _xlpm.filtro*(_xlpm.rango_t&gt;0), _xlpm.v_fecha), _xlpm.c_cants, _xlfn._xlws.FILTER(_xlpm.rango_t, _xlpm.filtro*(_xlpm.rango_t&gt;0), 0), _xlpm.v_acums_pasadas, ABS(SUMIFS(E269:E$1000, D269:D$1000, _xlpm.v_ticker, E269:E$1000,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69" spans="1:16" x14ac:dyDescent="0.45">
      <c r="A269" s="3" t="s">
        <v>12</v>
      </c>
      <c r="B269" s="4">
        <f t="shared" si="4"/>
        <v>45656</v>
      </c>
      <c r="C269" s="3" t="s">
        <v>90</v>
      </c>
      <c r="D269" s="3" t="s">
        <v>123</v>
      </c>
      <c r="E269" s="3">
        <v>29</v>
      </c>
      <c r="F269" s="3">
        <v>0.82389999999999997</v>
      </c>
      <c r="G269" s="3">
        <v>-23.89</v>
      </c>
      <c r="H269" s="5">
        <v>20.510300000000001</v>
      </c>
      <c r="I269" s="8">
        <f>SUMIF(D269:D$1000,D269,E269:E$1000)</f>
        <v>29.2511227</v>
      </c>
      <c r="J269" s="9" cm="1">
        <f t="array" ref="J269">IF(I269&gt;IFERROR(_xlfn.XLOOKUP(D269,D270:D$1000,I270:I$1000,,0,1),0),(IFERROR(_xlfn.XLOOKUP(D269,D270:D$1000,J270:J$1000,,0,1),0)*IFERROR(_xlfn.XLOOKUP(D269,D270:D$1000,I270:I$1000,,0,1),0)-G269*H269)/I269,_xlfn.XLOOKUP(D269,D270:D$1000,J270:J$1000,,0,1))</f>
        <v>16.898436175237816</v>
      </c>
      <c r="K269" s="10" cm="1">
        <f t="array" ref="K269">IFERROR(IF(I269&lt;_xlfn.XLOOKUP(D269,D270:D$1000,I270:I$1000,,0,1),G269*H269-_xlfn.XLOOKUP(D269,D270:D$1000,J270:J$1000,,0,1)*-E269,0),0)</f>
        <v>0</v>
      </c>
      <c r="L269" s="56">
        <v>137.94900000000001</v>
      </c>
      <c r="M269" s="56">
        <v>137.42400000000001</v>
      </c>
      <c r="N269" s="59" cm="1">
        <f t="array" ref="N269">IF(I269&gt;_xlfn.XLOOKUP(D269,D270:D$1000,I270:I$1000,0,0,1),(_xlfn.XLOOKUP(D269,D270:D$1000,N270:N$1000,0,0,1)*MAX(1,L269/_xlfn.XLOOKUP(D269,D270:D$1000,L270:L$1000,L269,0,1))*_xlfn.XLOOKUP(D269,D270:D$1000,I270:I$1000,0,0,1)-G269*H269)/I269,_xlfn.XLOOKUP(D269,D270:D$1000,N270:N$1000,,0,1)*MAX(1,L269/_xlfn.XLOOKUP(D269,D270:D$1000,L270:L$1000,,0,1)))</f>
        <v>16.898436175237816</v>
      </c>
      <c r="O269" s="59" cm="1">
        <f t="array" ref="O269">IFERROR(IF(I269&lt;_xlfn.XLOOKUP(D269,D270:D$1000,I270:I$1000,,0,1),G269*H269-_xlfn.XLOOKUP(D269,D270:D$1000,N270:N$1000,,0,1)*-E269*MAX(1,M269/IFERROR(_xlfn.XLOOKUP(D269,D270:D$1000,L270:L$1000,,0,1),M269)),0),0)</f>
        <v>0</v>
      </c>
      <c r="P269" s="56" t="str" cm="1">
        <f t="array" ref="P269">IF(O269&lt;0,1,IF(E269&lt;0, _xlfn.LET(_xlpm.v_cant, ABS(E269), _xlpm.v_fecha, B269, _xlpm.v_ticker, D269, _xlpm.rango_f, B270:B$1000, _xlpm.rango_t, E270:E$1000, _xlpm.filtro, D270:D$1000=_xlpm.v_ticker, _xlpm.c_fechas, _xlfn._xlws.FILTER(_xlpm.rango_f, _xlpm.filtro*(_xlpm.rango_t&gt;0), _xlpm.v_fecha), _xlpm.c_cants, _xlfn._xlws.FILTER(_xlpm.rango_t, _xlpm.filtro*(_xlpm.rango_t&gt;0), 0), _xlpm.v_acums_pasadas, ABS(SUMIFS(E270:E$1000, D270:D$1000, _xlpm.v_ticker, E270:E$1000,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0" spans="1:16" x14ac:dyDescent="0.45">
      <c r="A270" s="3" t="s">
        <v>12</v>
      </c>
      <c r="B270" s="4">
        <f t="shared" si="4"/>
        <v>45656</v>
      </c>
      <c r="C270" s="3" t="s">
        <v>90</v>
      </c>
      <c r="D270" s="3" t="s">
        <v>123</v>
      </c>
      <c r="E270" s="3">
        <v>0.25112269999999998</v>
      </c>
      <c r="F270" s="3">
        <v>0.82389999999999997</v>
      </c>
      <c r="G270" s="3">
        <v>-0.21</v>
      </c>
      <c r="H270" s="5">
        <v>20.510300000000001</v>
      </c>
      <c r="I270" s="8">
        <f>SUMIF(D270:D$1000,D270,E270:E$1000)</f>
        <v>0.25112269999999998</v>
      </c>
      <c r="J270" s="9" cm="1">
        <f t="array" ref="J270">IF(I270&gt;IFERROR(_xlfn.XLOOKUP(D270,D271:D$1000,I271:I$1000,,0,1),0),(IFERROR(_xlfn.XLOOKUP(D270,D271:D$1000,J271:J$1000,,0,1),0)*IFERROR(_xlfn.XLOOKUP(D270,D271:D$1000,I271:I$1000,,0,1),0)-G270*H270)/I270,_xlfn.XLOOKUP(D270,D271:D$1000,J271:J$1000,,0,1))</f>
        <v>17.151627471351656</v>
      </c>
      <c r="K270" s="10" cm="1">
        <f t="array" ref="K270">IFERROR(IF(I270&lt;_xlfn.XLOOKUP(D270,D271:D$1000,I271:I$1000,,0,1),G270*H270-_xlfn.XLOOKUP(D270,D271:D$1000,J271:J$1000,,0,1)*-E270,0),0)</f>
        <v>0</v>
      </c>
      <c r="L270" s="56">
        <v>137.94900000000001</v>
      </c>
      <c r="M270" s="56">
        <v>137.42400000000001</v>
      </c>
      <c r="N270" s="59" cm="1">
        <f t="array" ref="N270">IF(I270&gt;_xlfn.XLOOKUP(D270,D271:D$1000,I271:I$1000,0,0,1),(_xlfn.XLOOKUP(D270,D271:D$1000,N271:N$1000,0,0,1)*MAX(1,L270/_xlfn.XLOOKUP(D270,D271:D$1000,L271:L$1000,L270,0,1))*_xlfn.XLOOKUP(D270,D271:D$1000,I271:I$1000,0,0,1)-G270*H270)/I270,_xlfn.XLOOKUP(D270,D271:D$1000,N271:N$1000,,0,1)*MAX(1,L270/_xlfn.XLOOKUP(D270,D271:D$1000,L271:L$1000,,0,1)))</f>
        <v>17.151627471351656</v>
      </c>
      <c r="O270" s="59" cm="1">
        <f t="array" ref="O270">IFERROR(IF(I270&lt;_xlfn.XLOOKUP(D270,D271:D$1000,I271:I$1000,,0,1),G270*H270-_xlfn.XLOOKUP(D270,D271:D$1000,N271:N$1000,,0,1)*-E270*MAX(1,M270/IFERROR(_xlfn.XLOOKUP(D270,D271:D$1000,L271:L$1000,,0,1),M270)),0),0)</f>
        <v>0</v>
      </c>
      <c r="P270" s="56" t="str" cm="1">
        <f t="array" ref="P270">IF(O270&lt;0,1,IF(E270&lt;0, _xlfn.LET(_xlpm.v_cant, ABS(E270), _xlpm.v_fecha, B270, _xlpm.v_ticker, D270, _xlpm.rango_f, B271:B$1000, _xlpm.rango_t, E271:E$1000, _xlpm.filtro, D271:D$1000=_xlpm.v_ticker, _xlpm.c_fechas, _xlfn._xlws.FILTER(_xlpm.rango_f, _xlpm.filtro*(_xlpm.rango_t&gt;0), _xlpm.v_fecha), _xlpm.c_cants, _xlfn._xlws.FILTER(_xlpm.rango_t, _xlpm.filtro*(_xlpm.rango_t&gt;0), 0), _xlpm.v_acums_pasadas, ABS(SUMIFS(E271:E$1000, D271:D$1000, _xlpm.v_ticker, E271:E$1000,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1" spans="1:16" x14ac:dyDescent="0.45">
      <c r="A271" s="3" t="s">
        <v>12</v>
      </c>
      <c r="B271" s="4">
        <f t="shared" si="4"/>
        <v>45656</v>
      </c>
      <c r="C271" s="3" t="s">
        <v>90</v>
      </c>
      <c r="D271" s="3" t="s">
        <v>124</v>
      </c>
      <c r="E271" s="3">
        <v>7</v>
      </c>
      <c r="F271" s="3">
        <v>3.0289000000000001</v>
      </c>
      <c r="G271" s="3">
        <v>-21.2</v>
      </c>
      <c r="H271" s="5">
        <v>20.510300000000001</v>
      </c>
      <c r="I271" s="8">
        <f>SUMIF(D271:D$1000,D271,E271:E$1000)</f>
        <v>7.9632870000000002</v>
      </c>
      <c r="J271" s="9" cm="1">
        <f t="array" ref="J271">IF(I271&gt;IFERROR(_xlfn.XLOOKUP(D271,D272:D$1000,I272:I$1000,,0,1),0),(IFERROR(_xlfn.XLOOKUP(D271,D272:D$1000,J272:J$1000,,0,1),0)*IFERROR(_xlfn.XLOOKUP(D271,D272:D$1000,I272:I$1000,,0,1),0)-G271*H271)/I271,_xlfn.XLOOKUP(D271,D272:D$1000,J272:J$1000,,0,1))</f>
        <v>62.123647684680961</v>
      </c>
      <c r="K271" s="10" cm="1">
        <f t="array" ref="K271">IFERROR(IF(I271&lt;_xlfn.XLOOKUP(D271,D272:D$1000,I272:I$1000,,0,1),G271*H271-_xlfn.XLOOKUP(D271,D272:D$1000,J272:J$1000,,0,1)*-E271,0),0)</f>
        <v>0</v>
      </c>
      <c r="L271" s="56">
        <v>137.94900000000001</v>
      </c>
      <c r="M271" s="56">
        <v>137.42400000000001</v>
      </c>
      <c r="N271" s="59" cm="1">
        <f t="array" ref="N271">IF(I271&gt;_xlfn.XLOOKUP(D271,D272:D$1000,I272:I$1000,0,0,1),(_xlfn.XLOOKUP(D271,D272:D$1000,N272:N$1000,0,0,1)*MAX(1,L271/_xlfn.XLOOKUP(D271,D272:D$1000,L272:L$1000,L271,0,1))*_xlfn.XLOOKUP(D271,D272:D$1000,I272:I$1000,0,0,1)-G271*H271)/I271,_xlfn.XLOOKUP(D271,D272:D$1000,N272:N$1000,,0,1)*MAX(1,L271/_xlfn.XLOOKUP(D271,D272:D$1000,L272:L$1000,,0,1)))</f>
        <v>62.123647684680961</v>
      </c>
      <c r="O271" s="59" cm="1">
        <f t="array" ref="O271">IFERROR(IF(I271&lt;_xlfn.XLOOKUP(D271,D272:D$1000,I272:I$1000,,0,1),G271*H271-_xlfn.XLOOKUP(D271,D272:D$1000,N272:N$1000,,0,1)*-E271*MAX(1,M271/IFERROR(_xlfn.XLOOKUP(D271,D272:D$1000,L272:L$1000,,0,1),M271)),0),0)</f>
        <v>0</v>
      </c>
      <c r="P271" s="56" t="str" cm="1">
        <f t="array" ref="P271">IF(O271&lt;0,1,IF(E271&lt;0, _xlfn.LET(_xlpm.v_cant, ABS(E271), _xlpm.v_fecha, B271, _xlpm.v_ticker, D271, _xlpm.rango_f, B272:B$1000, _xlpm.rango_t, E272:E$1000, _xlpm.filtro, D272:D$1000=_xlpm.v_ticker, _xlpm.c_fechas, _xlfn._xlws.FILTER(_xlpm.rango_f, _xlpm.filtro*(_xlpm.rango_t&gt;0), _xlpm.v_fecha), _xlpm.c_cants, _xlfn._xlws.FILTER(_xlpm.rango_t, _xlpm.filtro*(_xlpm.rango_t&gt;0), 0), _xlpm.v_acums_pasadas, ABS(SUMIFS(E272:E$1000, D272:D$1000, _xlpm.v_ticker, E272:E$1000,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2" spans="1:16" x14ac:dyDescent="0.45">
      <c r="A272" s="3" t="s">
        <v>12</v>
      </c>
      <c r="B272" s="4">
        <f t="shared" si="4"/>
        <v>45656</v>
      </c>
      <c r="C272" s="3" t="s">
        <v>90</v>
      </c>
      <c r="D272" s="3" t="s">
        <v>124</v>
      </c>
      <c r="E272" s="3">
        <v>0.963287</v>
      </c>
      <c r="F272" s="3">
        <v>3.0289000000000001</v>
      </c>
      <c r="G272" s="3">
        <v>-2.92</v>
      </c>
      <c r="H272" s="5">
        <v>20.510300000000001</v>
      </c>
      <c r="I272" s="8">
        <f>SUMIF(D272:D$1000,D272,E272:E$1000)</f>
        <v>0.963287</v>
      </c>
      <c r="J272" s="9" cm="1">
        <f t="array" ref="J272">IF(I272&gt;IFERROR(_xlfn.XLOOKUP(D272,D273:D$1000,I273:I$1000,,0,1),0),(IFERROR(_xlfn.XLOOKUP(D272,D273:D$1000,J273:J$1000,,0,1),0)*IFERROR(_xlfn.XLOOKUP(D272,D273:D$1000,I273:I$1000,,0,1),0)-G272*H272)/I272,_xlfn.XLOOKUP(D272,D273:D$1000,J273:J$1000,,0,1))</f>
        <v>62.172619375118735</v>
      </c>
      <c r="K272" s="10" cm="1">
        <f t="array" ref="K272">IFERROR(IF(I272&lt;_xlfn.XLOOKUP(D272,D273:D$1000,I273:I$1000,,0,1),G272*H272-_xlfn.XLOOKUP(D272,D273:D$1000,J273:J$1000,,0,1)*-E272,0),0)</f>
        <v>0</v>
      </c>
      <c r="L272" s="56">
        <v>137.94900000000001</v>
      </c>
      <c r="M272" s="56">
        <v>137.42400000000001</v>
      </c>
      <c r="N272" s="59" cm="1">
        <f t="array" ref="N272">IF(I272&gt;_xlfn.XLOOKUP(D272,D273:D$1000,I273:I$1000,0,0,1),(_xlfn.XLOOKUP(D272,D273:D$1000,N273:N$1000,0,0,1)*MAX(1,L272/_xlfn.XLOOKUP(D272,D273:D$1000,L273:L$1000,L272,0,1))*_xlfn.XLOOKUP(D272,D273:D$1000,I273:I$1000,0,0,1)-G272*H272)/I272,_xlfn.XLOOKUP(D272,D273:D$1000,N273:N$1000,,0,1)*MAX(1,L272/_xlfn.XLOOKUP(D272,D273:D$1000,L273:L$1000,,0,1)))</f>
        <v>62.172619375118735</v>
      </c>
      <c r="O272" s="59" cm="1">
        <f t="array" ref="O272">IFERROR(IF(I272&lt;_xlfn.XLOOKUP(D272,D273:D$1000,I273:I$1000,,0,1),G272*H272-_xlfn.XLOOKUP(D272,D273:D$1000,N273:N$1000,,0,1)*-E272*MAX(1,M272/IFERROR(_xlfn.XLOOKUP(D272,D273:D$1000,L273:L$1000,,0,1),M272)),0),0)</f>
        <v>0</v>
      </c>
      <c r="P272" s="56" t="str" cm="1">
        <f t="array" ref="P272">IF(O272&lt;0,1,IF(E272&lt;0, _xlfn.LET(_xlpm.v_cant, ABS(E272), _xlpm.v_fecha, B272, _xlpm.v_ticker, D272, _xlpm.rango_f, B273:B$1000, _xlpm.rango_t, E273:E$1000, _xlpm.filtro, D273:D$1000=_xlpm.v_ticker, _xlpm.c_fechas, _xlfn._xlws.FILTER(_xlpm.rango_f, _xlpm.filtro*(_xlpm.rango_t&gt;0), _xlpm.v_fecha), _xlpm.c_cants, _xlfn._xlws.FILTER(_xlpm.rango_t, _xlpm.filtro*(_xlpm.rango_t&gt;0), 0), _xlpm.v_acums_pasadas, ABS(SUMIFS(E273:E$1000, D273:D$1000, _xlpm.v_ticker, E273:E$1000,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3" spans="1:16" x14ac:dyDescent="0.45">
      <c r="A273" s="3" t="s">
        <v>12</v>
      </c>
      <c r="B273" s="4">
        <f t="shared" si="4"/>
        <v>45656</v>
      </c>
      <c r="C273" s="3" t="s">
        <v>90</v>
      </c>
      <c r="D273" s="3" t="s">
        <v>164</v>
      </c>
      <c r="E273" s="3">
        <v>38</v>
      </c>
      <c r="F273" s="3">
        <v>1.0096000000000001</v>
      </c>
      <c r="G273" s="3">
        <v>-38.36</v>
      </c>
      <c r="H273" s="5">
        <v>20.510300000000001</v>
      </c>
      <c r="I273" s="8">
        <f>SUMIF(D273:D$1000,D273,E273:E$1000)</f>
        <v>38.262678280000003</v>
      </c>
      <c r="J273" s="9" cm="1">
        <f t="array" ref="J273">IF(I273&gt;IFERROR(_xlfn.XLOOKUP(D273,D274:D$1000,I274:I$1000,,0,1),0),(IFERROR(_xlfn.XLOOKUP(D273,D274:D$1000,J274:J$1000,,0,1),0)*IFERROR(_xlfn.XLOOKUP(D273,D274:D$1000,I274:I$1000,,0,1),0)-G273*H273)/I273,_xlfn.XLOOKUP(D273,D274:D$1000,J274:J$1000,,0,1))</f>
        <v>20.707198884562768</v>
      </c>
      <c r="K273" s="10" cm="1">
        <f t="array" ref="K273">IFERROR(IF(I273&lt;_xlfn.XLOOKUP(D273,D274:D$1000,I274:I$1000,,0,1),G273*H273-_xlfn.XLOOKUP(D273,D274:D$1000,J274:J$1000,,0,1)*-E273,0),0)</f>
        <v>0</v>
      </c>
      <c r="L273" s="56">
        <v>137.94900000000001</v>
      </c>
      <c r="M273" s="56">
        <v>137.42400000000001</v>
      </c>
      <c r="N273" s="59" cm="1">
        <f t="array" ref="N273">IF(I273&gt;_xlfn.XLOOKUP(D273,D274:D$1000,I274:I$1000,0,0,1),(_xlfn.XLOOKUP(D273,D274:D$1000,N274:N$1000,0,0,1)*MAX(1,L273/_xlfn.XLOOKUP(D273,D274:D$1000,L274:L$1000,L273,0,1))*_xlfn.XLOOKUP(D273,D274:D$1000,I274:I$1000,0,0,1)-G273*H273)/I273,_xlfn.XLOOKUP(D273,D274:D$1000,N274:N$1000,,0,1)*MAX(1,L273/_xlfn.XLOOKUP(D273,D274:D$1000,L274:L$1000,,0,1)))</f>
        <v>20.707198884562768</v>
      </c>
      <c r="O273" s="59" cm="1">
        <f t="array" ref="O273">IFERROR(IF(I273&lt;_xlfn.XLOOKUP(D273,D274:D$1000,I274:I$1000,,0,1),G273*H273-_xlfn.XLOOKUP(D273,D274:D$1000,N274:N$1000,,0,1)*-E273*MAX(1,M273/IFERROR(_xlfn.XLOOKUP(D273,D274:D$1000,L274:L$1000,,0,1),M273)),0),0)</f>
        <v>0</v>
      </c>
      <c r="P273" s="56" t="str" cm="1">
        <f t="array" ref="P273">IF(O273&lt;0,1,IF(E273&lt;0, _xlfn.LET(_xlpm.v_cant, ABS(E273), _xlpm.v_fecha, B273, _xlpm.v_ticker, D273, _xlpm.rango_f, B274:B$1000, _xlpm.rango_t, E274:E$1000, _xlpm.filtro, D274:D$1000=_xlpm.v_ticker, _xlpm.c_fechas, _xlfn._xlws.FILTER(_xlpm.rango_f, _xlpm.filtro*(_xlpm.rango_t&gt;0), _xlpm.v_fecha), _xlpm.c_cants, _xlfn._xlws.FILTER(_xlpm.rango_t, _xlpm.filtro*(_xlpm.rango_t&gt;0), 0), _xlpm.v_acums_pasadas, ABS(SUMIFS(E274:E$1000, D274:D$1000, _xlpm.v_ticker, E274:E$1000,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4" spans="1:16" x14ac:dyDescent="0.45">
      <c r="A274" s="3" t="s">
        <v>12</v>
      </c>
      <c r="B274" s="4">
        <f t="shared" si="4"/>
        <v>45656</v>
      </c>
      <c r="C274" s="3" t="s">
        <v>90</v>
      </c>
      <c r="D274" s="3" t="s">
        <v>164</v>
      </c>
      <c r="E274" s="3">
        <v>0.26267827999999999</v>
      </c>
      <c r="F274" s="3">
        <v>1.0096000000000001</v>
      </c>
      <c r="G274" s="3">
        <v>-0.27</v>
      </c>
      <c r="H274" s="5">
        <v>20.510300000000001</v>
      </c>
      <c r="I274" s="8">
        <f>SUMIF(D274:D$1000,D274,E274:E$1000)</f>
        <v>0.26267827999999999</v>
      </c>
      <c r="J274" s="9" cm="1">
        <f t="array" ref="J274">IF(I274&gt;IFERROR(_xlfn.XLOOKUP(D274,D275:D$1000,I275:I$1000,,0,1),0),(IFERROR(_xlfn.XLOOKUP(D274,D275:D$1000,J275:J$1000,,0,1),0)*IFERROR(_xlfn.XLOOKUP(D274,D275:D$1000,I275:I$1000,,0,1),0)-G274*H274)/I274,_xlfn.XLOOKUP(D274,D275:D$1000,J275:J$1000,,0,1))</f>
        <v>21.081990486613513</v>
      </c>
      <c r="K274" s="10" cm="1">
        <f t="array" ref="K274">IFERROR(IF(I274&lt;_xlfn.XLOOKUP(D274,D275:D$1000,I275:I$1000,,0,1),G274*H274-_xlfn.XLOOKUP(D274,D275:D$1000,J275:J$1000,,0,1)*-E274,0),0)</f>
        <v>0</v>
      </c>
      <c r="L274" s="56">
        <v>137.94900000000001</v>
      </c>
      <c r="M274" s="56">
        <v>137.42400000000001</v>
      </c>
      <c r="N274" s="59" cm="1">
        <f t="array" ref="N274">IF(I274&gt;_xlfn.XLOOKUP(D274,D275:D$1000,I275:I$1000,0,0,1),(_xlfn.XLOOKUP(D274,D275:D$1000,N275:N$1000,0,0,1)*MAX(1,L274/_xlfn.XLOOKUP(D274,D275:D$1000,L275:L$1000,L274,0,1))*_xlfn.XLOOKUP(D274,D275:D$1000,I275:I$1000,0,0,1)-G274*H274)/I274,_xlfn.XLOOKUP(D274,D275:D$1000,N275:N$1000,,0,1)*MAX(1,L274/_xlfn.XLOOKUP(D274,D275:D$1000,L275:L$1000,,0,1)))</f>
        <v>21.081990486613513</v>
      </c>
      <c r="O274" s="59" cm="1">
        <f t="array" ref="O274">IFERROR(IF(I274&lt;_xlfn.XLOOKUP(D274,D275:D$1000,I275:I$1000,,0,1),G274*H274-_xlfn.XLOOKUP(D274,D275:D$1000,N275:N$1000,,0,1)*-E274*MAX(1,M274/IFERROR(_xlfn.XLOOKUP(D274,D275:D$1000,L275:L$1000,,0,1),M274)),0),0)</f>
        <v>0</v>
      </c>
      <c r="P274" s="56" t="str" cm="1">
        <f t="array" ref="P274">IF(O274&lt;0,1,IF(E274&lt;0, _xlfn.LET(_xlpm.v_cant, ABS(E274), _xlpm.v_fecha, B274, _xlpm.v_ticker, D274, _xlpm.rango_f, B275:B$1000, _xlpm.rango_t, E275:E$1000, _xlpm.filtro, D275:D$1000=_xlpm.v_ticker, _xlpm.c_fechas, _xlfn._xlws.FILTER(_xlpm.rango_f, _xlpm.filtro*(_xlpm.rango_t&gt;0), _xlpm.v_fecha), _xlpm.c_cants, _xlfn._xlws.FILTER(_xlpm.rango_t, _xlpm.filtro*(_xlpm.rango_t&gt;0), 0), _xlpm.v_acums_pasadas, ABS(SUMIFS(E275:E$1000, D275:D$1000, _xlpm.v_ticker, E275:E$1000,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5" spans="1:16" x14ac:dyDescent="0.45">
      <c r="A275" s="3" t="s">
        <v>11</v>
      </c>
      <c r="B275" s="4">
        <f t="shared" si="4"/>
        <v>45650</v>
      </c>
      <c r="C275" s="3" t="s">
        <v>90</v>
      </c>
      <c r="D275" s="3" t="s">
        <v>115</v>
      </c>
      <c r="E275" s="3">
        <v>0.12358226999999999</v>
      </c>
      <c r="F275" s="3">
        <v>600.3288</v>
      </c>
      <c r="G275" s="3">
        <v>-74.19</v>
      </c>
      <c r="H275" s="5">
        <v>20.155799999999999</v>
      </c>
      <c r="I275" s="8">
        <f>SUMIF(D275:D$1000,D275,E275:E$1000)</f>
        <v>0.12358226999999999</v>
      </c>
      <c r="J275" s="9" cm="1">
        <f t="array" ref="J275">IF(I275&gt;IFERROR(_xlfn.XLOOKUP(D275,D276:D$1000,I276:I$1000,,0,1),0),(IFERROR(_xlfn.XLOOKUP(D275,D276:D$1000,J276:J$1000,,0,1),0)*IFERROR(_xlfn.XLOOKUP(D275,D276:D$1000,I276:I$1000,,0,1),0)-G275*H275)/I275,_xlfn.XLOOKUP(D275,D276:D$1000,J276:J$1000,,0,1))</f>
        <v>12100.107903827953</v>
      </c>
      <c r="K275" s="10" cm="1">
        <f t="array" ref="K275">IFERROR(IF(I275&lt;_xlfn.XLOOKUP(D275,D276:D$1000,I276:I$1000,,0,1),G275*H275-_xlfn.XLOOKUP(D275,D276:D$1000,J276:J$1000,,0,1)*-E275,0),0)</f>
        <v>0</v>
      </c>
      <c r="L275" s="56">
        <v>137.94900000000001</v>
      </c>
      <c r="M275" s="56">
        <v>137.42400000000001</v>
      </c>
      <c r="N275" s="59" cm="1">
        <f t="array" ref="N275">IF(I275&gt;_xlfn.XLOOKUP(D275,D276:D$1000,I276:I$1000,0,0,1),(_xlfn.XLOOKUP(D275,D276:D$1000,N276:N$1000,0,0,1)*MAX(1,L275/_xlfn.XLOOKUP(D275,D276:D$1000,L276:L$1000,L275,0,1))*_xlfn.XLOOKUP(D275,D276:D$1000,I276:I$1000,0,0,1)-G275*H275)/I275,_xlfn.XLOOKUP(D275,D276:D$1000,N276:N$1000,,0,1)*MAX(1,L275/_xlfn.XLOOKUP(D275,D276:D$1000,L276:L$1000,,0,1)))</f>
        <v>12100.107903827953</v>
      </c>
      <c r="O275" s="59" cm="1">
        <f t="array" ref="O275">IFERROR(IF(I275&lt;_xlfn.XLOOKUP(D275,D276:D$1000,I276:I$1000,,0,1),G275*H275-_xlfn.XLOOKUP(D275,D276:D$1000,N276:N$1000,,0,1)*-E275*MAX(1,M275/IFERROR(_xlfn.XLOOKUP(D275,D276:D$1000,L276:L$1000,,0,1),M275)),0),0)</f>
        <v>0</v>
      </c>
      <c r="P275" s="56" t="str" cm="1">
        <f t="array" ref="P275">IF(O275&lt;0,1,IF(E275&lt;0, _xlfn.LET(_xlpm.v_cant, ABS(E275), _xlpm.v_fecha, B275, _xlpm.v_ticker, D275, _xlpm.rango_f, B276:B$1000, _xlpm.rango_t, E276:E$1000, _xlpm.filtro, D276:D$1000=_xlpm.v_ticker, _xlpm.c_fechas, _xlfn._xlws.FILTER(_xlpm.rango_f, _xlpm.filtro*(_xlpm.rango_t&gt;0), _xlpm.v_fecha), _xlpm.c_cants, _xlfn._xlws.FILTER(_xlpm.rango_t, _xlpm.filtro*(_xlpm.rango_t&gt;0), 0), _xlpm.v_acums_pasadas, ABS(SUMIFS(E276:E$1000, D276:D$1000, _xlpm.v_ticker, E276:E$1000,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6" spans="1:16" x14ac:dyDescent="0.45">
      <c r="A276" s="3" t="s">
        <v>11</v>
      </c>
      <c r="B276" s="4">
        <f t="shared" si="4"/>
        <v>45650</v>
      </c>
      <c r="C276" s="3" t="s">
        <v>90</v>
      </c>
      <c r="D276" s="3" t="s">
        <v>116</v>
      </c>
      <c r="E276" s="3">
        <v>0.14028087</v>
      </c>
      <c r="F276" s="3">
        <v>528.93880000000001</v>
      </c>
      <c r="G276" s="3">
        <v>-74.2</v>
      </c>
      <c r="H276" s="5">
        <v>20.155799999999999</v>
      </c>
      <c r="I276" s="8">
        <f>SUMIF(D276:D$1000,D276,E276:E$1000)</f>
        <v>0.14028087</v>
      </c>
      <c r="J276" s="9" cm="1">
        <f t="array" ref="J276">IF(I276&gt;IFERROR(_xlfn.XLOOKUP(D276,D277:D$1000,I277:I$1000,,0,1),0),(IFERROR(_xlfn.XLOOKUP(D276,D277:D$1000,J277:J$1000,,0,1),0)*IFERROR(_xlfn.XLOOKUP(D276,D277:D$1000,I277:I$1000,,0,1),0)-G276*H276)/I276,_xlfn.XLOOKUP(D276,D277:D$1000,J277:J$1000,,0,1))</f>
        <v>10661.185377592825</v>
      </c>
      <c r="K276" s="10" cm="1">
        <f t="array" ref="K276">IFERROR(IF(I276&lt;_xlfn.XLOOKUP(D276,D277:D$1000,I277:I$1000,,0,1),G276*H276-_xlfn.XLOOKUP(D276,D277:D$1000,J277:J$1000,,0,1)*-E276,0),0)</f>
        <v>0</v>
      </c>
      <c r="L276" s="56">
        <v>137.94900000000001</v>
      </c>
      <c r="M276" s="56">
        <v>137.42400000000001</v>
      </c>
      <c r="N276" s="59" cm="1">
        <f t="array" ref="N276">IF(I276&gt;_xlfn.XLOOKUP(D276,D277:D$1000,I277:I$1000,0,0,1),(_xlfn.XLOOKUP(D276,D277:D$1000,N277:N$1000,0,0,1)*MAX(1,L276/_xlfn.XLOOKUP(D276,D277:D$1000,L277:L$1000,L276,0,1))*_xlfn.XLOOKUP(D276,D277:D$1000,I277:I$1000,0,0,1)-G276*H276)/I276,_xlfn.XLOOKUP(D276,D277:D$1000,N277:N$1000,,0,1)*MAX(1,L276/_xlfn.XLOOKUP(D276,D277:D$1000,L277:L$1000,,0,1)))</f>
        <v>10661.185377592825</v>
      </c>
      <c r="O276" s="59" cm="1">
        <f t="array" ref="O276">IFERROR(IF(I276&lt;_xlfn.XLOOKUP(D276,D277:D$1000,I277:I$1000,,0,1),G276*H276-_xlfn.XLOOKUP(D276,D277:D$1000,N277:N$1000,,0,1)*-E276*MAX(1,M276/IFERROR(_xlfn.XLOOKUP(D276,D277:D$1000,L277:L$1000,,0,1),M276)),0),0)</f>
        <v>0</v>
      </c>
      <c r="P276" s="56" t="str" cm="1">
        <f t="array" ref="P276">IF(O276&lt;0,1,IF(E276&lt;0, _xlfn.LET(_xlpm.v_cant, ABS(E276), _xlpm.v_fecha, B276, _xlpm.v_ticker, D276, _xlpm.rango_f, B277:B$1000, _xlpm.rango_t, E277:E$1000, _xlpm.filtro, D277:D$1000=_xlpm.v_ticker, _xlpm.c_fechas, _xlfn._xlws.FILTER(_xlpm.rango_f, _xlpm.filtro*(_xlpm.rango_t&gt;0), _xlpm.v_fecha), _xlpm.c_cants, _xlfn._xlws.FILTER(_xlpm.rango_t, _xlpm.filtro*(_xlpm.rango_t&gt;0), 0), _xlpm.v_acums_pasadas, ABS(SUMIFS(E277:E$1000, D277:D$1000, _xlpm.v_ticker, E277:E$1000,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7" spans="1:16" x14ac:dyDescent="0.45">
      <c r="A277" s="3" t="s">
        <v>11</v>
      </c>
      <c r="B277" s="4">
        <f t="shared" si="4"/>
        <v>45650</v>
      </c>
      <c r="C277" s="3" t="s">
        <v>90</v>
      </c>
      <c r="D277" s="3" t="s">
        <v>117</v>
      </c>
      <c r="E277" s="3">
        <v>0.1373887</v>
      </c>
      <c r="F277" s="3">
        <v>432.05880000000002</v>
      </c>
      <c r="G277" s="3">
        <v>-59.36</v>
      </c>
      <c r="H277" s="5">
        <v>20.155799999999999</v>
      </c>
      <c r="I277" s="8">
        <f>SUMIF(D277:D$1000,D277,E277:E$1000)</f>
        <v>0.1373887</v>
      </c>
      <c r="J277" s="9" cm="1">
        <f t="array" ref="J277">IF(I277&gt;IFERROR(_xlfn.XLOOKUP(D277,D278:D$1000,I278:I$1000,,0,1),0),(IFERROR(_xlfn.XLOOKUP(D277,D278:D$1000,J278:J$1000,,0,1),0)*IFERROR(_xlfn.XLOOKUP(D277,D278:D$1000,I278:I$1000,,0,1),0)-G277*H277)/I277,_xlfn.XLOOKUP(D277,D278:D$1000,J278:J$1000,,0,1))</f>
        <v>8708.4912223494357</v>
      </c>
      <c r="K277" s="10" cm="1">
        <f t="array" ref="K277">IFERROR(IF(I277&lt;_xlfn.XLOOKUP(D277,D278:D$1000,I278:I$1000,,0,1),G277*H277-_xlfn.XLOOKUP(D277,D278:D$1000,J278:J$1000,,0,1)*-E277,0),0)</f>
        <v>0</v>
      </c>
      <c r="L277" s="56">
        <v>137.94900000000001</v>
      </c>
      <c r="M277" s="56">
        <v>137.42400000000001</v>
      </c>
      <c r="N277" s="59" cm="1">
        <f t="array" ref="N277">IF(I277&gt;_xlfn.XLOOKUP(D277,D278:D$1000,I278:I$1000,0,0,1),(_xlfn.XLOOKUP(D277,D278:D$1000,N278:N$1000,0,0,1)*MAX(1,L277/_xlfn.XLOOKUP(D277,D278:D$1000,L278:L$1000,L277,0,1))*_xlfn.XLOOKUP(D277,D278:D$1000,I278:I$1000,0,0,1)-G277*H277)/I277,_xlfn.XLOOKUP(D277,D278:D$1000,N278:N$1000,,0,1)*MAX(1,L277/_xlfn.XLOOKUP(D277,D278:D$1000,L278:L$1000,,0,1)))</f>
        <v>8708.4912223494357</v>
      </c>
      <c r="O277" s="59" cm="1">
        <f t="array" ref="O277">IFERROR(IF(I277&lt;_xlfn.XLOOKUP(D277,D278:D$1000,I278:I$1000,,0,1),G277*H277-_xlfn.XLOOKUP(D277,D278:D$1000,N278:N$1000,,0,1)*-E277*MAX(1,M277/IFERROR(_xlfn.XLOOKUP(D277,D278:D$1000,L278:L$1000,,0,1),M277)),0),0)</f>
        <v>0</v>
      </c>
      <c r="P277" s="56" t="str" cm="1">
        <f t="array" ref="P277">IF(O277&lt;0,1,IF(E277&lt;0, _xlfn.LET(_xlpm.v_cant, ABS(E277), _xlpm.v_fecha, B277, _xlpm.v_ticker, D277, _xlpm.rango_f, B278:B$1000, _xlpm.rango_t, E278:E$1000, _xlpm.filtro, D278:D$1000=_xlpm.v_ticker, _xlpm.c_fechas, _xlfn._xlws.FILTER(_xlpm.rango_f, _xlpm.filtro*(_xlpm.rango_t&gt;0), _xlpm.v_fecha), _xlpm.c_cants, _xlfn._xlws.FILTER(_xlpm.rango_t, _xlpm.filtro*(_xlpm.rango_t&gt;0), 0), _xlpm.v_acums_pasadas, ABS(SUMIFS(E278:E$1000, D278:D$1000, _xlpm.v_ticker, E278:E$1000,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8" spans="1:16" x14ac:dyDescent="0.45">
      <c r="A278" s="3" t="s">
        <v>11</v>
      </c>
      <c r="B278" s="4">
        <f t="shared" si="4"/>
        <v>45650</v>
      </c>
      <c r="C278" s="3" t="s">
        <v>90</v>
      </c>
      <c r="D278" s="3" t="s">
        <v>118</v>
      </c>
      <c r="E278" s="3">
        <v>0.62375488000000001</v>
      </c>
      <c r="F278" s="3">
        <v>79.31</v>
      </c>
      <c r="G278" s="3">
        <v>-49.47</v>
      </c>
      <c r="H278" s="5">
        <v>20.155799999999999</v>
      </c>
      <c r="I278" s="8">
        <f>SUMIF(D278:D$1000,D278,E278:E$1000)</f>
        <v>0.62375488000000001</v>
      </c>
      <c r="J278" s="9" cm="1">
        <f t="array" ref="J278">IF(I278&gt;IFERROR(_xlfn.XLOOKUP(D278,D279:D$1000,I279:I$1000,,0,1),0),(IFERROR(_xlfn.XLOOKUP(D278,D279:D$1000,J279:J$1000,,0,1),0)*IFERROR(_xlfn.XLOOKUP(D278,D279:D$1000,I279:I$1000,,0,1),0)-G278*H278)/I278,_xlfn.XLOOKUP(D278,D279:D$1000,J279:J$1000,,0,1))</f>
        <v>1598.5565130969394</v>
      </c>
      <c r="K278" s="10" cm="1">
        <f t="array" ref="K278">IFERROR(IF(I278&lt;_xlfn.XLOOKUP(D278,D279:D$1000,I279:I$1000,,0,1),G278*H278-_xlfn.XLOOKUP(D278,D279:D$1000,J279:J$1000,,0,1)*-E278,0),0)</f>
        <v>0</v>
      </c>
      <c r="L278" s="56">
        <v>137.94900000000001</v>
      </c>
      <c r="M278" s="56">
        <v>137.42400000000001</v>
      </c>
      <c r="N278" s="59" cm="1">
        <f t="array" ref="N278">IF(I278&gt;_xlfn.XLOOKUP(D278,D279:D$1000,I279:I$1000,0,0,1),(_xlfn.XLOOKUP(D278,D279:D$1000,N279:N$1000,0,0,1)*MAX(1,L278/_xlfn.XLOOKUP(D278,D279:D$1000,L279:L$1000,L278,0,1))*_xlfn.XLOOKUP(D278,D279:D$1000,I279:I$1000,0,0,1)-G278*H278)/I278,_xlfn.XLOOKUP(D278,D279:D$1000,N279:N$1000,,0,1)*MAX(1,L278/_xlfn.XLOOKUP(D278,D279:D$1000,L279:L$1000,,0,1)))</f>
        <v>1598.5565130969394</v>
      </c>
      <c r="O278" s="59" cm="1">
        <f t="array" ref="O278">IFERROR(IF(I278&lt;_xlfn.XLOOKUP(D278,D279:D$1000,I279:I$1000,,0,1),G278*H278-_xlfn.XLOOKUP(D278,D279:D$1000,N279:N$1000,,0,1)*-E278*MAX(1,M278/IFERROR(_xlfn.XLOOKUP(D278,D279:D$1000,L279:L$1000,,0,1),M278)),0),0)</f>
        <v>0</v>
      </c>
      <c r="P278" s="56" t="str" cm="1">
        <f t="array" ref="P278">IF(O278&lt;0,1,IF(E278&lt;0, _xlfn.LET(_xlpm.v_cant, ABS(E278), _xlpm.v_fecha, B278, _xlpm.v_ticker, D278, _xlpm.rango_f, B279:B$1000, _xlpm.rango_t, E279:E$1000, _xlpm.filtro, D279:D$1000=_xlpm.v_ticker, _xlpm.c_fechas, _xlfn._xlws.FILTER(_xlpm.rango_f, _xlpm.filtro*(_xlpm.rango_t&gt;0), _xlpm.v_fecha), _xlpm.c_cants, _xlfn._xlws.FILTER(_xlpm.rango_t, _xlpm.filtro*(_xlpm.rango_t&gt;0), 0), _xlpm.v_acums_pasadas, ABS(SUMIFS(E279:E$1000, D279:D$1000, _xlpm.v_ticker, E279:E$1000,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79" spans="1:16" x14ac:dyDescent="0.45">
      <c r="A279" s="3" t="s">
        <v>10</v>
      </c>
      <c r="B279" s="4">
        <f t="shared" si="4"/>
        <v>45646</v>
      </c>
      <c r="C279" s="3" t="s">
        <v>90</v>
      </c>
      <c r="D279" s="3" t="s">
        <v>104</v>
      </c>
      <c r="E279" s="3">
        <v>0.10841795</v>
      </c>
      <c r="F279" s="3">
        <v>457.48880000000003</v>
      </c>
      <c r="G279" s="3">
        <v>-49.6</v>
      </c>
      <c r="H279" s="5">
        <v>20.1035</v>
      </c>
      <c r="I279" s="8">
        <f>SUMIF(D279:D$1000,D279,E279:E$1000)</f>
        <v>0.10841795</v>
      </c>
      <c r="J279" s="9" cm="1">
        <f t="array" ref="J279">IF(I279&gt;IFERROR(_xlfn.XLOOKUP(D279,D280:D$1000,I280:I$1000,,0,1),0),(IFERROR(_xlfn.XLOOKUP(D279,D280:D$1000,J280:J$1000,,0,1),0)*IFERROR(_xlfn.XLOOKUP(D279,D280:D$1000,I280:I$1000,,0,1),0)-G279*H279)/I279,_xlfn.XLOOKUP(D279,D280:D$1000,J280:J$1000,,0,1))</f>
        <v>9197.1264905857388</v>
      </c>
      <c r="K279" s="10" cm="1">
        <f t="array" ref="K279">IFERROR(IF(I279&lt;_xlfn.XLOOKUP(D279,D280:D$1000,I280:I$1000,,0,1),G279*H279-_xlfn.XLOOKUP(D279,D280:D$1000,J280:J$1000,,0,1)*-E279,0),0)</f>
        <v>0</v>
      </c>
      <c r="L279" s="56">
        <v>137.94900000000001</v>
      </c>
      <c r="M279" s="56">
        <v>137.42400000000001</v>
      </c>
      <c r="N279" s="59" cm="1">
        <f t="array" ref="N279">IF(I279&gt;_xlfn.XLOOKUP(D279,D280:D$1000,I280:I$1000,0,0,1),(_xlfn.XLOOKUP(D279,D280:D$1000,N280:N$1000,0,0,1)*MAX(1,L279/_xlfn.XLOOKUP(D279,D280:D$1000,L280:L$1000,L279,0,1))*_xlfn.XLOOKUP(D279,D280:D$1000,I280:I$1000,0,0,1)-G279*H279)/I279,_xlfn.XLOOKUP(D279,D280:D$1000,N280:N$1000,,0,1)*MAX(1,L279/_xlfn.XLOOKUP(D279,D280:D$1000,L280:L$1000,,0,1)))</f>
        <v>9197.1264905857388</v>
      </c>
      <c r="O279" s="59" cm="1">
        <f t="array" ref="O279">IFERROR(IF(I279&lt;_xlfn.XLOOKUP(D279,D280:D$1000,I280:I$1000,,0,1),G279*H279-_xlfn.XLOOKUP(D279,D280:D$1000,N280:N$1000,,0,1)*-E279*MAX(1,M279/IFERROR(_xlfn.XLOOKUP(D279,D280:D$1000,L280:L$1000,,0,1),M279)),0),0)</f>
        <v>0</v>
      </c>
      <c r="P279" s="56" t="str" cm="1">
        <f t="array" ref="P279">IF(O279&lt;0,1,IF(E279&lt;0, _xlfn.LET(_xlpm.v_cant, ABS(E279), _xlpm.v_fecha, B279, _xlpm.v_ticker, D279, _xlpm.rango_f, B280:B$1000, _xlpm.rango_t, E280:E$1000, _xlpm.filtro, D280:D$1000=_xlpm.v_ticker, _xlpm.c_fechas, _xlfn._xlws.FILTER(_xlpm.rango_f, _xlpm.filtro*(_xlpm.rango_t&gt;0), _xlpm.v_fecha), _xlpm.c_cants, _xlfn._xlws.FILTER(_xlpm.rango_t, _xlpm.filtro*(_xlpm.rango_t&gt;0), 0), _xlpm.v_acums_pasadas, ABS(SUMIFS(E280:E$1000, D280:D$1000, _xlpm.v_ticker, E280:E$1000,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0" spans="1:16" x14ac:dyDescent="0.45">
      <c r="A280" s="3" t="s">
        <v>10</v>
      </c>
      <c r="B280" s="4">
        <f t="shared" si="4"/>
        <v>45646</v>
      </c>
      <c r="C280" s="3" t="s">
        <v>90</v>
      </c>
      <c r="D280" s="3" t="s">
        <v>93</v>
      </c>
      <c r="E280" s="3">
        <v>0.29166098000000001</v>
      </c>
      <c r="F280" s="3">
        <v>85.098799999999997</v>
      </c>
      <c r="G280" s="3">
        <v>-24.82</v>
      </c>
      <c r="H280" s="5">
        <v>20.1035</v>
      </c>
      <c r="I280" s="8">
        <f>SUMIF(D280:D$1000,D280,E280:E$1000)</f>
        <v>1.24847215</v>
      </c>
      <c r="J280" s="9" cm="1">
        <f t="array" ref="J280">IF(I280&gt;IFERROR(_xlfn.XLOOKUP(D280,D281:D$1000,I281:I$1000,,0,1),0),(IFERROR(_xlfn.XLOOKUP(D280,D281:D$1000,J281:J$1000,,0,1),0)*IFERROR(_xlfn.XLOOKUP(D280,D281:D$1000,I281:I$1000,,0,1),0)-G280*H280)/I280,_xlfn.XLOOKUP(D280,D281:D$1000,J281:J$1000,,0,1))</f>
        <v>2153.1647526138245</v>
      </c>
      <c r="K280" s="10" cm="1">
        <f t="array" ref="K280">IFERROR(IF(I280&lt;_xlfn.XLOOKUP(D280,D281:D$1000,I281:I$1000,,0,1),G280*H280-_xlfn.XLOOKUP(D280,D281:D$1000,J281:J$1000,,0,1)*-E280,0),0)</f>
        <v>0</v>
      </c>
      <c r="L280" s="56">
        <v>137.94900000000001</v>
      </c>
      <c r="M280" s="56">
        <v>137.42400000000001</v>
      </c>
      <c r="N280" s="59" cm="1">
        <f t="array" ref="N280">IF(I280&gt;_xlfn.XLOOKUP(D280,D281:D$1000,I281:I$1000,0,0,1),(_xlfn.XLOOKUP(D280,D281:D$1000,N281:N$1000,0,0,1)*MAX(1,L280/_xlfn.XLOOKUP(D280,D281:D$1000,L281:L$1000,L280,0,1))*_xlfn.XLOOKUP(D280,D281:D$1000,I281:I$1000,0,0,1)-G280*H280)/I280,_xlfn.XLOOKUP(D280,D281:D$1000,N281:N$1000,,0,1)*MAX(1,L280/_xlfn.XLOOKUP(D280,D281:D$1000,L281:L$1000,,0,1)))</f>
        <v>2180.7774252937438</v>
      </c>
      <c r="O280" s="59" cm="1">
        <f t="array" ref="O280">IFERROR(IF(I280&lt;_xlfn.XLOOKUP(D280,D281:D$1000,I281:I$1000,,0,1),G280*H280-_xlfn.XLOOKUP(D280,D281:D$1000,N281:N$1000,,0,1)*-E280*MAX(1,M280/IFERROR(_xlfn.XLOOKUP(D280,D281:D$1000,L281:L$1000,,0,1),M280)),0),0)</f>
        <v>0</v>
      </c>
      <c r="P280" s="56" t="str" cm="1">
        <f t="array" ref="P280">IF(O280&lt;0,1,IF(E280&lt;0, _xlfn.LET(_xlpm.v_cant, ABS(E280), _xlpm.v_fecha, B280, _xlpm.v_ticker, D280, _xlpm.rango_f, B281:B$1000, _xlpm.rango_t, E281:E$1000, _xlpm.filtro, D281:D$1000=_xlpm.v_ticker, _xlpm.c_fechas, _xlfn._xlws.FILTER(_xlpm.rango_f, _xlpm.filtro*(_xlpm.rango_t&gt;0), _xlpm.v_fecha), _xlpm.c_cants, _xlfn._xlws.FILTER(_xlpm.rango_t, _xlpm.filtro*(_xlpm.rango_t&gt;0), 0), _xlpm.v_acums_pasadas, ABS(SUMIFS(E281:E$1000, D281:D$1000, _xlpm.v_ticker, E281:E$1000,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1" spans="1:16" x14ac:dyDescent="0.45">
      <c r="A281" s="3" t="s">
        <v>10</v>
      </c>
      <c r="B281" s="4">
        <f t="shared" si="4"/>
        <v>45646</v>
      </c>
      <c r="C281" s="3" t="s">
        <v>90</v>
      </c>
      <c r="D281" s="3" t="s">
        <v>105</v>
      </c>
      <c r="E281" s="3">
        <v>0.87506607000000003</v>
      </c>
      <c r="F281" s="3">
        <v>56.75</v>
      </c>
      <c r="G281" s="3">
        <v>-49.66</v>
      </c>
      <c r="H281" s="5">
        <v>20.1035</v>
      </c>
      <c r="I281" s="8">
        <f>SUMIF(D281:D$1000,D281,E281:E$1000)</f>
        <v>2.39309766</v>
      </c>
      <c r="J281" s="9" cm="1">
        <f t="array" ref="J281">IF(I281&gt;IFERROR(_xlfn.XLOOKUP(D281,D282:D$1000,I282:I$1000,,0,1),0),(IFERROR(_xlfn.XLOOKUP(D281,D282:D$1000,J282:J$1000,,0,1),0)*IFERROR(_xlfn.XLOOKUP(D281,D282:D$1000,I282:I$1000,,0,1),0)-G281*H281)/I281,_xlfn.XLOOKUP(D281,D282:D$1000,J282:J$1000,,0,1))</f>
        <v>1040.3714088291742</v>
      </c>
      <c r="K281" s="10" cm="1">
        <f t="array" ref="K281">IFERROR(IF(I281&lt;_xlfn.XLOOKUP(D281,D282:D$1000,I282:I$1000,,0,1),G281*H281-_xlfn.XLOOKUP(D281,D282:D$1000,J282:J$1000,,0,1)*-E281,0),0)</f>
        <v>0</v>
      </c>
      <c r="L281" s="56">
        <v>137.94900000000001</v>
      </c>
      <c r="M281" s="56">
        <v>137.42400000000001</v>
      </c>
      <c r="N281" s="59" cm="1">
        <f t="array" ref="N281">IF(I281&gt;_xlfn.XLOOKUP(D281,D282:D$1000,I282:I$1000,0,0,1),(_xlfn.XLOOKUP(D281,D282:D$1000,N282:N$1000,0,0,1)*MAX(1,L281/_xlfn.XLOOKUP(D281,D282:D$1000,L282:L$1000,L281,0,1))*_xlfn.XLOOKUP(D281,D282:D$1000,I282:I$1000,0,0,1)-G281*H281)/I281,_xlfn.XLOOKUP(D281,D282:D$1000,N282:N$1000,,0,1)*MAX(1,L281/_xlfn.XLOOKUP(D281,D282:D$1000,L282:L$1000,,0,1)))</f>
        <v>1044.5683683057139</v>
      </c>
      <c r="O281" s="59" cm="1">
        <f t="array" ref="O281">IFERROR(IF(I281&lt;_xlfn.XLOOKUP(D281,D282:D$1000,I282:I$1000,,0,1),G281*H281-_xlfn.XLOOKUP(D281,D282:D$1000,N282:N$1000,,0,1)*-E281*MAX(1,M281/IFERROR(_xlfn.XLOOKUP(D281,D282:D$1000,L282:L$1000,,0,1),M281)),0),0)</f>
        <v>0</v>
      </c>
      <c r="P281" s="56" t="str" cm="1">
        <f t="array" ref="P281">IF(O281&lt;0,1,IF(E281&lt;0, _xlfn.LET(_xlpm.v_cant, ABS(E281), _xlpm.v_fecha, B281, _xlpm.v_ticker, D281, _xlpm.rango_f, B282:B$1000, _xlpm.rango_t, E282:E$1000, _xlpm.filtro, D282:D$1000=_xlpm.v_ticker, _xlpm.c_fechas, _xlfn._xlws.FILTER(_xlpm.rango_f, _xlpm.filtro*(_xlpm.rango_t&gt;0), _xlpm.v_fecha), _xlpm.c_cants, _xlfn._xlws.FILTER(_xlpm.rango_t, _xlpm.filtro*(_xlpm.rango_t&gt;0), 0), _xlpm.v_acums_pasadas, ABS(SUMIFS(E282:E$1000, D282:D$1000, _xlpm.v_ticker, E282:E$1000,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2" spans="1:16" x14ac:dyDescent="0.45">
      <c r="A282" s="3" t="s">
        <v>10</v>
      </c>
      <c r="B282" s="4">
        <f t="shared" si="4"/>
        <v>45646</v>
      </c>
      <c r="C282" s="3" t="s">
        <v>90</v>
      </c>
      <c r="D282" s="3" t="s">
        <v>96</v>
      </c>
      <c r="E282" s="3">
        <v>2</v>
      </c>
      <c r="F282" s="3">
        <v>19.8888</v>
      </c>
      <c r="G282" s="3">
        <v>-39.78</v>
      </c>
      <c r="H282" s="5">
        <v>20.1035</v>
      </c>
      <c r="I282" s="8">
        <f>SUMIF(D282:D$1000,D282,E282:E$1000)</f>
        <v>5.1615927900000003</v>
      </c>
      <c r="J282" s="9" cm="1">
        <f t="array" ref="J282">IF(I282&gt;IFERROR(_xlfn.XLOOKUP(D282,D283:D$1000,I283:I$1000,,0,1),0),(IFERROR(_xlfn.XLOOKUP(D282,D283:D$1000,J283:J$1000,,0,1),0)*IFERROR(_xlfn.XLOOKUP(D282,D283:D$1000,I283:I$1000,,0,1),0)-G282*H282)/I282,_xlfn.XLOOKUP(D282,D283:D$1000,J283:J$1000,,0,1))</f>
        <v>385.99416712219943</v>
      </c>
      <c r="K282" s="10" cm="1">
        <f t="array" ref="K282">IFERROR(IF(I282&lt;_xlfn.XLOOKUP(D282,D283:D$1000,I283:I$1000,,0,1),G282*H282-_xlfn.XLOOKUP(D282,D283:D$1000,J283:J$1000,,0,1)*-E282,0),0)</f>
        <v>0</v>
      </c>
      <c r="L282" s="56">
        <v>137.94900000000001</v>
      </c>
      <c r="M282" s="56">
        <v>137.42400000000001</v>
      </c>
      <c r="N282" s="59" cm="1">
        <f t="array" ref="N282">IF(I282&gt;_xlfn.XLOOKUP(D282,D283:D$1000,I283:I$1000,0,0,1),(_xlfn.XLOOKUP(D282,D283:D$1000,N283:N$1000,0,0,1)*MAX(1,L282/_xlfn.XLOOKUP(D282,D283:D$1000,L283:L$1000,L282,0,1))*_xlfn.XLOOKUP(D282,D283:D$1000,I283:I$1000,0,0,1)-G282*H282)/I282,_xlfn.XLOOKUP(D282,D283:D$1000,N283:N$1000,,0,1)*MAX(1,L282/_xlfn.XLOOKUP(D282,D283:D$1000,L283:L$1000,,0,1)))</f>
        <v>387.57190706270006</v>
      </c>
      <c r="O282" s="59" cm="1">
        <f t="array" ref="O282">IFERROR(IF(I282&lt;_xlfn.XLOOKUP(D282,D283:D$1000,I283:I$1000,,0,1),G282*H282-_xlfn.XLOOKUP(D282,D283:D$1000,N283:N$1000,,0,1)*-E282*MAX(1,M282/IFERROR(_xlfn.XLOOKUP(D282,D283:D$1000,L283:L$1000,,0,1),M282)),0),0)</f>
        <v>0</v>
      </c>
      <c r="P282" s="56" t="str" cm="1">
        <f t="array" ref="P282">IF(O282&lt;0,1,IF(E282&lt;0, _xlfn.LET(_xlpm.v_cant, ABS(E282), _xlpm.v_fecha, B282, _xlpm.v_ticker, D282, _xlpm.rango_f, B283:B$1000, _xlpm.rango_t, E283:E$1000, _xlpm.filtro, D283:D$1000=_xlpm.v_ticker, _xlpm.c_fechas, _xlfn._xlws.FILTER(_xlpm.rango_f, _xlpm.filtro*(_xlpm.rango_t&gt;0), _xlpm.v_fecha), _xlpm.c_cants, _xlfn._xlws.FILTER(_xlpm.rango_t, _xlpm.filtro*(_xlpm.rango_t&gt;0), 0), _xlpm.v_acums_pasadas, ABS(SUMIFS(E283:E$1000, D283:D$1000, _xlpm.v_ticker, E283:E$1000,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3" spans="1:16" x14ac:dyDescent="0.45">
      <c r="A283" s="3" t="s">
        <v>10</v>
      </c>
      <c r="B283" s="4">
        <f t="shared" si="4"/>
        <v>45646</v>
      </c>
      <c r="C283" s="3" t="s">
        <v>90</v>
      </c>
      <c r="D283" s="3" t="s">
        <v>96</v>
      </c>
      <c r="E283" s="3">
        <v>0.49688265999999998</v>
      </c>
      <c r="F283" s="3">
        <v>19.8888</v>
      </c>
      <c r="G283" s="3">
        <v>-9.8800000000000008</v>
      </c>
      <c r="H283" s="5">
        <v>20.1035</v>
      </c>
      <c r="I283" s="8">
        <f>SUMIF(D283:D$1000,D283,E283:E$1000)</f>
        <v>3.1615927899999998</v>
      </c>
      <c r="J283" s="9" cm="1">
        <f t="array" ref="J283">IF(I283&gt;IFERROR(_xlfn.XLOOKUP(D283,D284:D$1000,I284:I$1000,,0,1),0),(IFERROR(_xlfn.XLOOKUP(D283,D284:D$1000,J284:J$1000,,0,1),0)*IFERROR(_xlfn.XLOOKUP(D283,D284:D$1000,I284:I$1000,,0,1),0)-G283*H283)/I283,_xlfn.XLOOKUP(D283,D284:D$1000,J284:J$1000,,0,1))</f>
        <v>377.22362088256153</v>
      </c>
      <c r="K283" s="10" cm="1">
        <f t="array" ref="K283">IFERROR(IF(I283&lt;_xlfn.XLOOKUP(D283,D284:D$1000,I284:I$1000,,0,1),G283*H283-_xlfn.XLOOKUP(D283,D284:D$1000,J284:J$1000,,0,1)*-E283,0),0)</f>
        <v>0</v>
      </c>
      <c r="L283" s="56">
        <v>137.94900000000001</v>
      </c>
      <c r="M283" s="56">
        <v>137.42400000000001</v>
      </c>
      <c r="N283" s="59" cm="1">
        <f t="array" ref="N283">IF(I283&gt;_xlfn.XLOOKUP(D283,D284:D$1000,I284:I$1000,0,0,1),(_xlfn.XLOOKUP(D283,D284:D$1000,N284:N$1000,0,0,1)*MAX(1,L283/_xlfn.XLOOKUP(D283,D284:D$1000,L284:L$1000,L283,0,1))*_xlfn.XLOOKUP(D283,D284:D$1000,I284:I$1000,0,0,1)-G283*H283)/I283,_xlfn.XLOOKUP(D283,D284:D$1000,N284:N$1000,,0,1)*MAX(1,L283/_xlfn.XLOOKUP(D283,D284:D$1000,L284:L$1000,,0,1)))</f>
        <v>379.79942733275993</v>
      </c>
      <c r="O283" s="59" cm="1">
        <f t="array" ref="O283">IFERROR(IF(I283&lt;_xlfn.XLOOKUP(D283,D284:D$1000,I284:I$1000,,0,1),G283*H283-_xlfn.XLOOKUP(D283,D284:D$1000,N284:N$1000,,0,1)*-E283*MAX(1,M283/IFERROR(_xlfn.XLOOKUP(D283,D284:D$1000,L284:L$1000,,0,1),M283)),0),0)</f>
        <v>0</v>
      </c>
      <c r="P283" s="56" t="str" cm="1">
        <f t="array" ref="P283">IF(O283&lt;0,1,IF(E283&lt;0, _xlfn.LET(_xlpm.v_cant, ABS(E283), _xlpm.v_fecha, B283, _xlpm.v_ticker, D283, _xlpm.rango_f, B284:B$1000, _xlpm.rango_t, E284:E$1000, _xlpm.filtro, D284:D$1000=_xlpm.v_ticker, _xlpm.c_fechas, _xlfn._xlws.FILTER(_xlpm.rango_f, _xlpm.filtro*(_xlpm.rango_t&gt;0), _xlpm.v_fecha), _xlpm.c_cants, _xlfn._xlws.FILTER(_xlpm.rango_t, _xlpm.filtro*(_xlpm.rango_t&gt;0), 0), _xlpm.v_acums_pasadas, ABS(SUMIFS(E284:E$1000, D284:D$1000, _xlpm.v_ticker, E284:E$1000,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4" spans="1:16" x14ac:dyDescent="0.45">
      <c r="A284" s="3" t="s">
        <v>10</v>
      </c>
      <c r="B284" s="4">
        <f t="shared" si="4"/>
        <v>45646</v>
      </c>
      <c r="C284" s="3" t="s">
        <v>90</v>
      </c>
      <c r="D284" s="3" t="s">
        <v>106</v>
      </c>
      <c r="E284" s="3">
        <v>1</v>
      </c>
      <c r="F284" s="3">
        <v>22.251899999999999</v>
      </c>
      <c r="G284" s="3">
        <v>-22.25</v>
      </c>
      <c r="H284" s="5">
        <v>20.1035</v>
      </c>
      <c r="I284" s="8">
        <f>SUMIF(D284:D$1000,D284,E284:E$1000)</f>
        <v>3.5280601800000002</v>
      </c>
      <c r="J284" s="9" cm="1">
        <f t="array" ref="J284">IF(I284&gt;IFERROR(_xlfn.XLOOKUP(D284,D285:D$1000,I285:I$1000,,0,1),0),(IFERROR(_xlfn.XLOOKUP(D284,D285:D$1000,J285:J$1000,,0,1),0)*IFERROR(_xlfn.XLOOKUP(D284,D285:D$1000,I285:I$1000,,0,1),0)-G284*H284)/I284,_xlfn.XLOOKUP(D284,D285:D$1000,J285:J$1000,,0,1))</f>
        <v>395.60152287424978</v>
      </c>
      <c r="K284" s="10" cm="1">
        <f t="array" ref="K284">IFERROR(IF(I284&lt;_xlfn.XLOOKUP(D284,D285:D$1000,I285:I$1000,,0,1),G284*H284-_xlfn.XLOOKUP(D284,D285:D$1000,J285:J$1000,,0,1)*-E284,0),0)</f>
        <v>0</v>
      </c>
      <c r="L284" s="56">
        <v>137.94900000000001</v>
      </c>
      <c r="M284" s="56">
        <v>137.42400000000001</v>
      </c>
      <c r="N284" s="59" cm="1">
        <f t="array" ref="N284">IF(I284&gt;_xlfn.XLOOKUP(D284,D285:D$1000,I285:I$1000,0,0,1),(_xlfn.XLOOKUP(D284,D285:D$1000,N285:N$1000,0,0,1)*MAX(1,L284/_xlfn.XLOOKUP(D284,D285:D$1000,L285:L$1000,L284,0,1))*_xlfn.XLOOKUP(D284,D285:D$1000,I285:I$1000,0,0,1)-G284*H284)/I284,_xlfn.XLOOKUP(D284,D285:D$1000,N285:N$1000,,0,1)*MAX(1,L284/_xlfn.XLOOKUP(D284,D285:D$1000,L285:L$1000,,0,1)))</f>
        <v>397.68343511464639</v>
      </c>
      <c r="O284" s="59" cm="1">
        <f t="array" ref="O284">IFERROR(IF(I284&lt;_xlfn.XLOOKUP(D284,D285:D$1000,I285:I$1000,,0,1),G284*H284-_xlfn.XLOOKUP(D284,D285:D$1000,N285:N$1000,,0,1)*-E284*MAX(1,M284/IFERROR(_xlfn.XLOOKUP(D284,D285:D$1000,L285:L$1000,,0,1),M284)),0),0)</f>
        <v>0</v>
      </c>
      <c r="P284" s="56" t="str" cm="1">
        <f t="array" ref="P284">IF(O284&lt;0,1,IF(E284&lt;0, _xlfn.LET(_xlpm.v_cant, ABS(E284), _xlpm.v_fecha, B284, _xlpm.v_ticker, D284, _xlpm.rango_f, B285:B$1000, _xlpm.rango_t, E285:E$1000, _xlpm.filtro, D285:D$1000=_xlpm.v_ticker, _xlpm.c_fechas, _xlfn._xlws.FILTER(_xlpm.rango_f, _xlpm.filtro*(_xlpm.rango_t&gt;0), _xlpm.v_fecha), _xlpm.c_cants, _xlfn._xlws.FILTER(_xlpm.rango_t, _xlpm.filtro*(_xlpm.rango_t&gt;0), 0), _xlpm.v_acums_pasadas, ABS(SUMIFS(E285:E$1000, D285:D$1000, _xlpm.v_ticker, E285:E$1000,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5" spans="1:16" x14ac:dyDescent="0.45">
      <c r="A285" s="3" t="s">
        <v>10</v>
      </c>
      <c r="B285" s="4">
        <f t="shared" si="4"/>
        <v>45646</v>
      </c>
      <c r="C285" s="3" t="s">
        <v>90</v>
      </c>
      <c r="D285" s="3" t="s">
        <v>106</v>
      </c>
      <c r="E285" s="3">
        <v>0.11585976000000001</v>
      </c>
      <c r="F285" s="3">
        <v>22.251899999999999</v>
      </c>
      <c r="G285" s="3">
        <v>-2.58</v>
      </c>
      <c r="H285" s="5">
        <v>20.1035</v>
      </c>
      <c r="I285" s="8">
        <f>SUMIF(D285:D$1000,D285,E285:E$1000)</f>
        <v>2.5280601800000002</v>
      </c>
      <c r="J285" s="9" cm="1">
        <f t="array" ref="J285">IF(I285&gt;IFERROR(_xlfn.XLOOKUP(D285,D286:D$1000,I286:I$1000,,0,1),0),(IFERROR(_xlfn.XLOOKUP(D285,D286:D$1000,J286:J$1000,,0,1),0)*IFERROR(_xlfn.XLOOKUP(D285,D286:D$1000,I286:I$1000,,0,1),0)-G285*H285)/I285,_xlfn.XLOOKUP(D285,D286:D$1000,J286:J$1000,,0,1))</f>
        <v>375.15052549105059</v>
      </c>
      <c r="K285" s="10" cm="1">
        <f t="array" ref="K285">IFERROR(IF(I285&lt;_xlfn.XLOOKUP(D285,D286:D$1000,I286:I$1000,,0,1),G285*H285-_xlfn.XLOOKUP(D285,D286:D$1000,J286:J$1000,,0,1)*-E285,0),0)</f>
        <v>0</v>
      </c>
      <c r="L285" s="56">
        <v>137.94900000000001</v>
      </c>
      <c r="M285" s="56">
        <v>137.42400000000001</v>
      </c>
      <c r="N285" s="59" cm="1">
        <f t="array" ref="N285">IF(I285&gt;_xlfn.XLOOKUP(D285,D286:D$1000,I286:I$1000,0,0,1),(_xlfn.XLOOKUP(D285,D286:D$1000,N286:N$1000,0,0,1)*MAX(1,L285/_xlfn.XLOOKUP(D285,D286:D$1000,L286:L$1000,L285,0,1))*_xlfn.XLOOKUP(D285,D286:D$1000,I286:I$1000,0,0,1)-G285*H285)/I285,_xlfn.XLOOKUP(D285,D286:D$1000,N286:N$1000,,0,1)*MAX(1,L285/_xlfn.XLOOKUP(D285,D286:D$1000,L286:L$1000,,0,1)))</f>
        <v>378.05595936153605</v>
      </c>
      <c r="O285" s="59" cm="1">
        <f t="array" ref="O285">IFERROR(IF(I285&lt;_xlfn.XLOOKUP(D285,D286:D$1000,I286:I$1000,,0,1),G285*H285-_xlfn.XLOOKUP(D285,D286:D$1000,N286:N$1000,,0,1)*-E285*MAX(1,M285/IFERROR(_xlfn.XLOOKUP(D285,D286:D$1000,L286:L$1000,,0,1),M285)),0),0)</f>
        <v>0</v>
      </c>
      <c r="P285" s="56" t="str" cm="1">
        <f t="array" ref="P285">IF(O285&lt;0,1,IF(E285&lt;0, _xlfn.LET(_xlpm.v_cant, ABS(E285), _xlpm.v_fecha, B285, _xlpm.v_ticker, D285, _xlpm.rango_f, B286:B$1000, _xlpm.rango_t, E286:E$1000, _xlpm.filtro, D286:D$1000=_xlpm.v_ticker, _xlpm.c_fechas, _xlfn._xlws.FILTER(_xlpm.rango_f, _xlpm.filtro*(_xlpm.rango_t&gt;0), _xlpm.v_fecha), _xlpm.c_cants, _xlfn._xlws.FILTER(_xlpm.rango_t, _xlpm.filtro*(_xlpm.rango_t&gt;0), 0), _xlpm.v_acums_pasadas, ABS(SUMIFS(E286:E$1000, D286:D$1000, _xlpm.v_ticker, E286:E$1000,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6" spans="1:16" x14ac:dyDescent="0.45">
      <c r="A286" s="3" t="s">
        <v>10</v>
      </c>
      <c r="B286" s="4">
        <f t="shared" si="4"/>
        <v>45646</v>
      </c>
      <c r="C286" s="3" t="s">
        <v>90</v>
      </c>
      <c r="D286" s="3" t="s">
        <v>102</v>
      </c>
      <c r="E286" s="3">
        <v>3.169864E-2</v>
      </c>
      <c r="F286" s="3">
        <v>782.99879999999996</v>
      </c>
      <c r="G286" s="3">
        <v>-24.82</v>
      </c>
      <c r="H286" s="5">
        <v>20.1035</v>
      </c>
      <c r="I286" s="8">
        <f>SUMIF(D286:D$1000,D286,E286:E$1000)</f>
        <v>0.14339665000000001</v>
      </c>
      <c r="J286" s="9" cm="1">
        <f t="array" ref="J286">IF(I286&gt;IFERROR(_xlfn.XLOOKUP(D286,D287:D$1000,I287:I$1000,,0,1),0),(IFERROR(_xlfn.XLOOKUP(D286,D287:D$1000,J287:J$1000,,0,1),0)*IFERROR(_xlfn.XLOOKUP(D286,D287:D$1000,I287:I$1000,,0,1),0)-G286*H286)/I286,_xlfn.XLOOKUP(D286,D287:D$1000,J287:J$1000,,0,1))</f>
        <v>16263.95906738407</v>
      </c>
      <c r="K286" s="10" cm="1">
        <f t="array" ref="K286">IFERROR(IF(I286&lt;_xlfn.XLOOKUP(D286,D287:D$1000,I287:I$1000,,0,1),G286*H286-_xlfn.XLOOKUP(D286,D287:D$1000,J287:J$1000,,0,1)*-E286,0),0)</f>
        <v>0</v>
      </c>
      <c r="L286" s="56">
        <v>137.94900000000001</v>
      </c>
      <c r="M286" s="56">
        <v>137.42400000000001</v>
      </c>
      <c r="N286" s="59" cm="1">
        <f t="array" ref="N286">IF(I286&gt;_xlfn.XLOOKUP(D286,D287:D$1000,I287:I$1000,0,0,1),(_xlfn.XLOOKUP(D286,D287:D$1000,N287:N$1000,0,0,1)*MAX(1,L286/_xlfn.XLOOKUP(D286,D287:D$1000,L287:L$1000,L286,0,1))*_xlfn.XLOOKUP(D286,D287:D$1000,I287:I$1000,0,0,1)-G286*H286)/I286,_xlfn.XLOOKUP(D286,D287:D$1000,N287:N$1000,,0,1)*MAX(1,L286/_xlfn.XLOOKUP(D286,D287:D$1000,L287:L$1000,,0,1)))</f>
        <v>16439.562249359045</v>
      </c>
      <c r="O286" s="59" cm="1">
        <f t="array" ref="O286">IFERROR(IF(I286&lt;_xlfn.XLOOKUP(D286,D287:D$1000,I287:I$1000,,0,1),G286*H286-_xlfn.XLOOKUP(D286,D287:D$1000,N287:N$1000,,0,1)*-E286*MAX(1,M286/IFERROR(_xlfn.XLOOKUP(D286,D287:D$1000,L287:L$1000,,0,1),M286)),0),0)</f>
        <v>0</v>
      </c>
      <c r="P286" s="56" t="str" cm="1">
        <f t="array" ref="P286">IF(O286&lt;0,1,IF(E286&lt;0, _xlfn.LET(_xlpm.v_cant, ABS(E286), _xlpm.v_fecha, B286, _xlpm.v_ticker, D286, _xlpm.rango_f, B287:B$1000, _xlpm.rango_t, E287:E$1000, _xlpm.filtro, D287:D$1000=_xlpm.v_ticker, _xlpm.c_fechas, _xlfn._xlws.FILTER(_xlpm.rango_f, _xlpm.filtro*(_xlpm.rango_t&gt;0), _xlpm.v_fecha), _xlpm.c_cants, _xlfn._xlws.FILTER(_xlpm.rango_t, _xlpm.filtro*(_xlpm.rango_t&gt;0), 0), _xlpm.v_acums_pasadas, ABS(SUMIFS(E287:E$1000, D287:D$1000, _xlpm.v_ticker, E287:E$1000,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7" spans="1:16" x14ac:dyDescent="0.45">
      <c r="A287" s="3" t="s">
        <v>10</v>
      </c>
      <c r="B287" s="4">
        <f t="shared" si="4"/>
        <v>45646</v>
      </c>
      <c r="C287" s="3" t="s">
        <v>90</v>
      </c>
      <c r="D287" s="3" t="s">
        <v>107</v>
      </c>
      <c r="E287" s="3">
        <v>0.13424315000000001</v>
      </c>
      <c r="F287" s="3">
        <v>369.47879999999998</v>
      </c>
      <c r="G287" s="3">
        <v>-49.6</v>
      </c>
      <c r="H287" s="5">
        <v>20.1035</v>
      </c>
      <c r="I287" s="8">
        <f>SUMIF(D287:D$1000,D287,E287:E$1000)</f>
        <v>0.13424315000000001</v>
      </c>
      <c r="J287" s="9" cm="1">
        <f t="array" ref="J287">IF(I287&gt;IFERROR(_xlfn.XLOOKUP(D287,D288:D$1000,I288:I$1000,,0,1),0),(IFERROR(_xlfn.XLOOKUP(D287,D288:D$1000,J288:J$1000,,0,1),0)*IFERROR(_xlfn.XLOOKUP(D287,D288:D$1000,I288:I$1000,,0,1),0)-G287*H287)/I287,_xlfn.XLOOKUP(D287,D288:D$1000,J288:J$1000,,0,1))</f>
        <v>7427.8173597684499</v>
      </c>
      <c r="K287" s="10" cm="1">
        <f t="array" ref="K287">IFERROR(IF(I287&lt;_xlfn.XLOOKUP(D287,D288:D$1000,I288:I$1000,,0,1),G287*H287-_xlfn.XLOOKUP(D287,D288:D$1000,J288:J$1000,,0,1)*-E287,0),0)</f>
        <v>0</v>
      </c>
      <c r="L287" s="56">
        <v>137.94900000000001</v>
      </c>
      <c r="M287" s="56">
        <v>137.42400000000001</v>
      </c>
      <c r="N287" s="59" cm="1">
        <f t="array" ref="N287">IF(I287&gt;_xlfn.XLOOKUP(D287,D288:D$1000,I288:I$1000,0,0,1),(_xlfn.XLOOKUP(D287,D288:D$1000,N288:N$1000,0,0,1)*MAX(1,L287/_xlfn.XLOOKUP(D287,D288:D$1000,L288:L$1000,L287,0,1))*_xlfn.XLOOKUP(D287,D288:D$1000,I288:I$1000,0,0,1)-G287*H287)/I287,_xlfn.XLOOKUP(D287,D288:D$1000,N288:N$1000,,0,1)*MAX(1,L287/_xlfn.XLOOKUP(D287,D288:D$1000,L288:L$1000,,0,1)))</f>
        <v>7427.8173597684499</v>
      </c>
      <c r="O287" s="59" cm="1">
        <f t="array" ref="O287">IFERROR(IF(I287&lt;_xlfn.XLOOKUP(D287,D288:D$1000,I288:I$1000,,0,1),G287*H287-_xlfn.XLOOKUP(D287,D288:D$1000,N288:N$1000,,0,1)*-E287*MAX(1,M287/IFERROR(_xlfn.XLOOKUP(D287,D288:D$1000,L288:L$1000,,0,1),M287)),0),0)</f>
        <v>0</v>
      </c>
      <c r="P287" s="56" t="str" cm="1">
        <f t="array" ref="P287">IF(O287&lt;0,1,IF(E287&lt;0, _xlfn.LET(_xlpm.v_cant, ABS(E287), _xlpm.v_fecha, B287, _xlpm.v_ticker, D287, _xlpm.rango_f, B288:B$1000, _xlpm.rango_t, E288:E$1000, _xlpm.filtro, D288:D$1000=_xlpm.v_ticker, _xlpm.c_fechas, _xlfn._xlws.FILTER(_xlpm.rango_f, _xlpm.filtro*(_xlpm.rango_t&gt;0), _xlpm.v_fecha), _xlpm.c_cants, _xlfn._xlws.FILTER(_xlpm.rango_t, _xlpm.filtro*(_xlpm.rango_t&gt;0), 0), _xlpm.v_acums_pasadas, ABS(SUMIFS(E288:E$1000, D288:D$1000, _xlpm.v_ticker, E288:E$1000,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8" spans="1:16" x14ac:dyDescent="0.45">
      <c r="A288" s="3" t="s">
        <v>10</v>
      </c>
      <c r="B288" s="4">
        <f t="shared" si="4"/>
        <v>45646</v>
      </c>
      <c r="C288" s="3" t="s">
        <v>90</v>
      </c>
      <c r="D288" s="3" t="s">
        <v>108</v>
      </c>
      <c r="E288" s="3">
        <v>0.15879355000000001</v>
      </c>
      <c r="F288" s="3">
        <v>249.88419999999999</v>
      </c>
      <c r="G288" s="3">
        <v>-39.68</v>
      </c>
      <c r="H288" s="5">
        <v>20.1035</v>
      </c>
      <c r="I288" s="8">
        <f>SUMIF(D288:D$1000,D288,E288:E$1000)</f>
        <v>0.15879355000000001</v>
      </c>
      <c r="J288" s="9" cm="1">
        <f t="array" ref="J288">IF(I288&gt;IFERROR(_xlfn.XLOOKUP(D288,D289:D$1000,I289:I$1000,,0,1),0),(IFERROR(_xlfn.XLOOKUP(D288,D289:D$1000,J289:J$1000,,0,1),0)*IFERROR(_xlfn.XLOOKUP(D288,D289:D$1000,I289:I$1000,,0,1),0)-G288*H288)/I288,_xlfn.XLOOKUP(D288,D289:D$1000,J289:J$1000,,0,1))</f>
        <v>5023.5471151063748</v>
      </c>
      <c r="K288" s="10" cm="1">
        <f t="array" ref="K288">IFERROR(IF(I288&lt;_xlfn.XLOOKUP(D288,D289:D$1000,I289:I$1000,,0,1),G288*H288-_xlfn.XLOOKUP(D288,D289:D$1000,J289:J$1000,,0,1)*-E288,0),0)</f>
        <v>0</v>
      </c>
      <c r="L288" s="56">
        <v>137.94900000000001</v>
      </c>
      <c r="M288" s="56">
        <v>137.42400000000001</v>
      </c>
      <c r="N288" s="59" cm="1">
        <f t="array" ref="N288">IF(I288&gt;_xlfn.XLOOKUP(D288,D289:D$1000,I289:I$1000,0,0,1),(_xlfn.XLOOKUP(D288,D289:D$1000,N289:N$1000,0,0,1)*MAX(1,L288/_xlfn.XLOOKUP(D288,D289:D$1000,L289:L$1000,L288,0,1))*_xlfn.XLOOKUP(D288,D289:D$1000,I289:I$1000,0,0,1)-G288*H288)/I288,_xlfn.XLOOKUP(D288,D289:D$1000,N289:N$1000,,0,1)*MAX(1,L288/_xlfn.XLOOKUP(D288,D289:D$1000,L289:L$1000,,0,1)))</f>
        <v>5023.5471151063748</v>
      </c>
      <c r="O288" s="59" cm="1">
        <f t="array" ref="O288">IFERROR(IF(I288&lt;_xlfn.XLOOKUP(D288,D289:D$1000,I289:I$1000,,0,1),G288*H288-_xlfn.XLOOKUP(D288,D289:D$1000,N289:N$1000,,0,1)*-E288*MAX(1,M288/IFERROR(_xlfn.XLOOKUP(D288,D289:D$1000,L289:L$1000,,0,1),M288)),0),0)</f>
        <v>0</v>
      </c>
      <c r="P288" s="56" t="str" cm="1">
        <f t="array" ref="P288">IF(O288&lt;0,1,IF(E288&lt;0, _xlfn.LET(_xlpm.v_cant, ABS(E288), _xlpm.v_fecha, B288, _xlpm.v_ticker, D288, _xlpm.rango_f, B289:B$1000, _xlpm.rango_t, E289:E$1000, _xlpm.filtro, D289:D$1000=_xlpm.v_ticker, _xlpm.c_fechas, _xlfn._xlws.FILTER(_xlpm.rango_f, _xlpm.filtro*(_xlpm.rango_t&gt;0), _xlpm.v_fecha), _xlpm.c_cants, _xlfn._xlws.FILTER(_xlpm.rango_t, _xlpm.filtro*(_xlpm.rango_t&gt;0), 0), _xlpm.v_acums_pasadas, ABS(SUMIFS(E289:E$1000, D289:D$1000, _xlpm.v_ticker, E289:E$1000,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89" spans="1:16" x14ac:dyDescent="0.45">
      <c r="A289" s="3" t="s">
        <v>10</v>
      </c>
      <c r="B289" s="4">
        <f t="shared" si="4"/>
        <v>45646</v>
      </c>
      <c r="C289" s="3" t="s">
        <v>90</v>
      </c>
      <c r="D289" s="3" t="s">
        <v>100</v>
      </c>
      <c r="E289" s="3">
        <v>7.3542150000000001E-2</v>
      </c>
      <c r="F289" s="3">
        <v>337.0856</v>
      </c>
      <c r="G289" s="3">
        <v>-24.79</v>
      </c>
      <c r="H289" s="5">
        <v>20.1035</v>
      </c>
      <c r="I289" s="8">
        <f>SUMIF(D289:D$1000,D289,E289:E$1000)</f>
        <v>0.13974643</v>
      </c>
      <c r="J289" s="9" cm="1">
        <f t="array" ref="J289">IF(I289&gt;IFERROR(_xlfn.XLOOKUP(D289,D290:D$1000,I290:I$1000,,0,1),0),(IFERROR(_xlfn.XLOOKUP(D289,D290:D$1000,J290:J$1000,,0,1),0)*IFERROR(_xlfn.XLOOKUP(D289,D290:D$1000,I290:I$1000,,0,1),0)-G289*H289)/I289,_xlfn.XLOOKUP(D289,D290:D$1000,J290:J$1000,,0,1))</f>
        <v>7132.1541523457881</v>
      </c>
      <c r="K289" s="10" cm="1">
        <f t="array" ref="K289">IFERROR(IF(I289&lt;_xlfn.XLOOKUP(D289,D290:D$1000,I290:I$1000,,0,1),G289*H289-_xlfn.XLOOKUP(D289,D290:D$1000,J290:J$1000,,0,1)*-E289,0),0)</f>
        <v>0</v>
      </c>
      <c r="L289" s="56">
        <v>137.94900000000001</v>
      </c>
      <c r="M289" s="56">
        <v>137.42400000000001</v>
      </c>
      <c r="N289" s="59" cm="1">
        <f t="array" ref="N289">IF(I289&gt;_xlfn.XLOOKUP(D289,D290:D$1000,I290:I$1000,0,0,1),(_xlfn.XLOOKUP(D289,D290:D$1000,N290:N$1000,0,0,1)*MAX(1,L289/_xlfn.XLOOKUP(D289,D290:D$1000,L290:L$1000,L289,0,1))*_xlfn.XLOOKUP(D289,D290:D$1000,I290:I$1000,0,0,1)-G289*H289)/I289,_xlfn.XLOOKUP(D289,D290:D$1000,N290:N$1000,,0,1)*MAX(1,L289/_xlfn.XLOOKUP(D289,D290:D$1000,L290:L$1000,,0,1)))</f>
        <v>7132.1541523457881</v>
      </c>
      <c r="O289" s="59" cm="1">
        <f t="array" ref="O289">IFERROR(IF(I289&lt;_xlfn.XLOOKUP(D289,D290:D$1000,I290:I$1000,,0,1),G289*H289-_xlfn.XLOOKUP(D289,D290:D$1000,N290:N$1000,,0,1)*-E289*MAX(1,M289/IFERROR(_xlfn.XLOOKUP(D289,D290:D$1000,L290:L$1000,,0,1),M289)),0),0)</f>
        <v>0</v>
      </c>
      <c r="P289" s="56" t="str" cm="1">
        <f t="array" ref="P289">IF(O289&lt;0,1,IF(E289&lt;0, _xlfn.LET(_xlpm.v_cant, ABS(E289), _xlpm.v_fecha, B289, _xlpm.v_ticker, D289, _xlpm.rango_f, B290:B$1000, _xlpm.rango_t, E290:E$1000, _xlpm.filtro, D290:D$1000=_xlpm.v_ticker, _xlpm.c_fechas, _xlfn._xlws.FILTER(_xlpm.rango_f, _xlpm.filtro*(_xlpm.rango_t&gt;0), _xlpm.v_fecha), _xlpm.c_cants, _xlfn._xlws.FILTER(_xlpm.rango_t, _xlpm.filtro*(_xlpm.rango_t&gt;0), 0), _xlpm.v_acums_pasadas, ABS(SUMIFS(E290:E$1000, D290:D$1000, _xlpm.v_ticker, E290:E$1000,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0" spans="1:16" x14ac:dyDescent="0.45">
      <c r="A290" s="3" t="s">
        <v>10</v>
      </c>
      <c r="B290" s="4">
        <f t="shared" si="4"/>
        <v>45646</v>
      </c>
      <c r="C290" s="3" t="s">
        <v>90</v>
      </c>
      <c r="D290" s="3" t="s">
        <v>109</v>
      </c>
      <c r="E290" s="3">
        <v>2</v>
      </c>
      <c r="F290" s="3">
        <v>8.8887999999999998</v>
      </c>
      <c r="G290" s="3">
        <v>-17.78</v>
      </c>
      <c r="H290" s="5">
        <v>20.1035</v>
      </c>
      <c r="I290" s="8">
        <f>SUMIF(D290:D$1000,D290,E290:E$1000)</f>
        <v>2.7900279000000001</v>
      </c>
      <c r="J290" s="9" cm="1">
        <f t="array" ref="J290">IF(I290&gt;IFERROR(_xlfn.XLOOKUP(D290,D291:D$1000,I291:I$1000,,0,1),0),(IFERROR(_xlfn.XLOOKUP(D290,D291:D$1000,J291:J$1000,,0,1),0)*IFERROR(_xlfn.XLOOKUP(D290,D291:D$1000,I291:I$1000,,0,1),0)-G290*H290)/I290,_xlfn.XLOOKUP(D290,D291:D$1000,J291:J$1000,,0,1))</f>
        <v>178.69599081786961</v>
      </c>
      <c r="K290" s="10" cm="1">
        <f t="array" ref="K290">IFERROR(IF(I290&lt;_xlfn.XLOOKUP(D290,D291:D$1000,I291:I$1000,,0,1),G290*H290-_xlfn.XLOOKUP(D290,D291:D$1000,J291:J$1000,,0,1)*-E290,0),0)</f>
        <v>0</v>
      </c>
      <c r="L290" s="57">
        <v>137.94900000000001</v>
      </c>
      <c r="M290" s="56">
        <v>137.42400000000001</v>
      </c>
      <c r="N290" s="59" cm="1">
        <f t="array" ref="N290">IF(I290&gt;_xlfn.XLOOKUP(D290,D291:D$1000,I291:I$1000,0,0,1),(_xlfn.XLOOKUP(D290,D291:D$1000,N291:N$1000,0,0,1)*MAX(1,L290/_xlfn.XLOOKUP(D290,D291:D$1000,L291:L$1000,L290,0,1))*_xlfn.XLOOKUP(D290,D291:D$1000,I291:I$1000,0,0,1)-G290*H290)/I290,_xlfn.XLOOKUP(D290,D291:D$1000,N291:N$1000,,0,1)*MAX(1,L290/_xlfn.XLOOKUP(D290,D291:D$1000,L291:L$1000,,0,1)))</f>
        <v>178.69599081786961</v>
      </c>
      <c r="O290" s="59" cm="1">
        <f t="array" ref="O290">IFERROR(IF(I290&lt;_xlfn.XLOOKUP(D290,D291:D$1000,I291:I$1000,,0,1),G290*H290-_xlfn.XLOOKUP(D290,D291:D$1000,N291:N$1000,,0,1)*-E290*MAX(1,M290/IFERROR(_xlfn.XLOOKUP(D290,D291:D$1000,L291:L$1000,,0,1),M290)),0),0)</f>
        <v>0</v>
      </c>
      <c r="P290" s="56" t="str" cm="1">
        <f t="array" ref="P290">IF(O290&lt;0,1,IF(E290&lt;0, _xlfn.LET(_xlpm.v_cant, ABS(E290), _xlpm.v_fecha, B290, _xlpm.v_ticker, D290, _xlpm.rango_f, B291:B$1000, _xlpm.rango_t, E291:E$1000, _xlpm.filtro, D291:D$1000=_xlpm.v_ticker, _xlpm.c_fechas, _xlfn._xlws.FILTER(_xlpm.rango_f, _xlpm.filtro*(_xlpm.rango_t&gt;0), _xlpm.v_fecha), _xlpm.c_cants, _xlfn._xlws.FILTER(_xlpm.rango_t, _xlpm.filtro*(_xlpm.rango_t&gt;0), 0), _xlpm.v_acums_pasadas, ABS(SUMIFS(E291:E$1000, D291:D$1000, _xlpm.v_ticker, E291:E$1000,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1" spans="1:16" x14ac:dyDescent="0.45">
      <c r="A291" s="3" t="s">
        <v>10</v>
      </c>
      <c r="B291" s="4">
        <f t="shared" si="4"/>
        <v>45646</v>
      </c>
      <c r="C291" s="3" t="s">
        <v>90</v>
      </c>
      <c r="D291" s="3" t="s">
        <v>109</v>
      </c>
      <c r="E291" s="3">
        <v>0.79002790000000001</v>
      </c>
      <c r="F291" s="3">
        <v>8.8887999999999998</v>
      </c>
      <c r="G291" s="3">
        <v>-7.02</v>
      </c>
      <c r="H291" s="5">
        <v>20.1035</v>
      </c>
      <c r="I291" s="8">
        <f>SUMIF(D291:D$1000,D291,E291:E$1000)</f>
        <v>0.79002790000000001</v>
      </c>
      <c r="J291" s="9" cm="1">
        <f t="array" ref="J291">IF(I291&gt;IFERROR(_xlfn.XLOOKUP(D291,D292:D$1000,I292:I$1000,,0,1),0),(IFERROR(_xlfn.XLOOKUP(D291,D292:D$1000,J292:J$1000,,0,1),0)*IFERROR(_xlfn.XLOOKUP(D291,D292:D$1000,I292:I$1000,,0,1),0)-G291*H291)/I291,_xlfn.XLOOKUP(D291,D292:D$1000,J292:J$1000,,0,1))</f>
        <v>178.63491909589521</v>
      </c>
      <c r="K291" s="10" cm="1">
        <f t="array" ref="K291">IFERROR(IF(I291&lt;_xlfn.XLOOKUP(D291,D292:D$1000,I292:I$1000,,0,1),G291*H291-_xlfn.XLOOKUP(D291,D292:D$1000,J292:J$1000,,0,1)*-E291,0),0)</f>
        <v>0</v>
      </c>
      <c r="L291" s="57">
        <v>137.94900000000001</v>
      </c>
      <c r="M291" s="56">
        <v>137.42400000000001</v>
      </c>
      <c r="N291" s="59" cm="1">
        <f t="array" ref="N291">IF(I291&gt;_xlfn.XLOOKUP(D291,D292:D$1000,I292:I$1000,0,0,1),(_xlfn.XLOOKUP(D291,D292:D$1000,N292:N$1000,0,0,1)*MAX(1,L291/_xlfn.XLOOKUP(D291,D292:D$1000,L292:L$1000,L291,0,1))*_xlfn.XLOOKUP(D291,D292:D$1000,I292:I$1000,0,0,1)-G291*H291)/I291,_xlfn.XLOOKUP(D291,D292:D$1000,N292:N$1000,,0,1)*MAX(1,L291/_xlfn.XLOOKUP(D291,D292:D$1000,L292:L$1000,,0,1)))</f>
        <v>178.63491909589521</v>
      </c>
      <c r="O291" s="59" cm="1">
        <f t="array" ref="O291">IFERROR(IF(I291&lt;_xlfn.XLOOKUP(D291,D292:D$1000,I292:I$1000,,0,1),G291*H291-_xlfn.XLOOKUP(D291,D292:D$1000,N292:N$1000,,0,1)*-E291*MAX(1,M291/IFERROR(_xlfn.XLOOKUP(D291,D292:D$1000,L292:L$1000,,0,1),M291)),0),0)</f>
        <v>0</v>
      </c>
      <c r="P291" s="56" t="str" cm="1">
        <f t="array" ref="P291">IF(O291&lt;0,1,IF(E291&lt;0, _xlfn.LET(_xlpm.v_cant, ABS(E291), _xlpm.v_fecha, B291, _xlpm.v_ticker, D291, _xlpm.rango_f, B292:B$1000, _xlpm.rango_t, E292:E$1000, _xlpm.filtro, D292:D$1000=_xlpm.v_ticker, _xlpm.c_fechas, _xlfn._xlws.FILTER(_xlpm.rango_f, _xlpm.filtro*(_xlpm.rango_t&gt;0), _xlpm.v_fecha), _xlpm.c_cants, _xlfn._xlws.FILTER(_xlpm.rango_t, _xlpm.filtro*(_xlpm.rango_t&gt;0), 0), _xlpm.v_acums_pasadas, ABS(SUMIFS(E292:E$1000, D292:D$1000, _xlpm.v_ticker, E292:E$1000,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2" spans="1:16" x14ac:dyDescent="0.45">
      <c r="A292" s="3" t="s">
        <v>10</v>
      </c>
      <c r="B292" s="4">
        <f t="shared" si="4"/>
        <v>45646</v>
      </c>
      <c r="C292" s="3" t="s">
        <v>90</v>
      </c>
      <c r="D292" s="3" t="s">
        <v>110</v>
      </c>
      <c r="E292" s="3">
        <v>0.55532168000000004</v>
      </c>
      <c r="F292" s="3">
        <v>44.658799999999999</v>
      </c>
      <c r="G292" s="3">
        <v>-24.8</v>
      </c>
      <c r="H292" s="5">
        <v>20.1035</v>
      </c>
      <c r="I292" s="8">
        <f>SUMIF(D292:D$1000,D292,E292:E$1000)</f>
        <v>0.55532168000000004</v>
      </c>
      <c r="J292" s="9" cm="1">
        <f t="array" ref="J292">IF(I292&gt;IFERROR(_xlfn.XLOOKUP(D292,D293:D$1000,I293:I$1000,,0,1),0),(IFERROR(_xlfn.XLOOKUP(D292,D293:D$1000,J293:J$1000,,0,1),0)*IFERROR(_xlfn.XLOOKUP(D292,D293:D$1000,I293:I$1000,,0,1),0)-G292*H292)/I292,_xlfn.XLOOKUP(D292,D293:D$1000,J293:J$1000,,0,1))</f>
        <v>897.79819149146124</v>
      </c>
      <c r="K292" s="10" cm="1">
        <f t="array" ref="K292">IFERROR(IF(I292&lt;_xlfn.XLOOKUP(D292,D293:D$1000,I293:I$1000,,0,1),G292*H292-_xlfn.XLOOKUP(D292,D293:D$1000,J293:J$1000,,0,1)*-E292,0),0)</f>
        <v>0</v>
      </c>
      <c r="L292" s="56">
        <v>137.94900000000001</v>
      </c>
      <c r="M292" s="56">
        <v>137.42400000000001</v>
      </c>
      <c r="N292" s="59" cm="1">
        <f t="array" ref="N292">IF(I292&gt;_xlfn.XLOOKUP(D292,D293:D$1000,I293:I$1000,0,0,1),(_xlfn.XLOOKUP(D292,D293:D$1000,N293:N$1000,0,0,1)*MAX(1,L292/_xlfn.XLOOKUP(D292,D293:D$1000,L293:L$1000,L292,0,1))*_xlfn.XLOOKUP(D292,D293:D$1000,I293:I$1000,0,0,1)-G292*H292)/I292,_xlfn.XLOOKUP(D292,D293:D$1000,N293:N$1000,,0,1)*MAX(1,L292/_xlfn.XLOOKUP(D292,D293:D$1000,L293:L$1000,,0,1)))</f>
        <v>897.79819149146124</v>
      </c>
      <c r="O292" s="59" cm="1">
        <f t="array" ref="O292">IFERROR(IF(I292&lt;_xlfn.XLOOKUP(D292,D293:D$1000,I293:I$1000,,0,1),G292*H292-_xlfn.XLOOKUP(D292,D293:D$1000,N293:N$1000,,0,1)*-E292*MAX(1,M292/IFERROR(_xlfn.XLOOKUP(D292,D293:D$1000,L293:L$1000,,0,1),M292)),0),0)</f>
        <v>0</v>
      </c>
      <c r="P292" s="56" t="str" cm="1">
        <f t="array" ref="P292">IF(O292&lt;0,1,IF(E292&lt;0, _xlfn.LET(_xlpm.v_cant, ABS(E292), _xlpm.v_fecha, B292, _xlpm.v_ticker, D292, _xlpm.rango_f, B293:B$1000, _xlpm.rango_t, E293:E$1000, _xlpm.filtro, D293:D$1000=_xlpm.v_ticker, _xlpm.c_fechas, _xlfn._xlws.FILTER(_xlpm.rango_f, _xlpm.filtro*(_xlpm.rango_t&gt;0), _xlpm.v_fecha), _xlpm.c_cants, _xlfn._xlws.FILTER(_xlpm.rango_t, _xlpm.filtro*(_xlpm.rango_t&gt;0), 0), _xlpm.v_acums_pasadas, ABS(SUMIFS(E293:E$1000, D293:D$1000, _xlpm.v_ticker, E293:E$1000,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3" spans="1:16" x14ac:dyDescent="0.45">
      <c r="A293" s="3" t="s">
        <v>10</v>
      </c>
      <c r="B293" s="4">
        <f t="shared" si="4"/>
        <v>45646</v>
      </c>
      <c r="C293" s="3" t="s">
        <v>90</v>
      </c>
      <c r="D293" s="3" t="s">
        <v>111</v>
      </c>
      <c r="E293" s="3">
        <v>0.53653116000000001</v>
      </c>
      <c r="F293" s="3">
        <v>73.975200000000001</v>
      </c>
      <c r="G293" s="3">
        <v>-39.69</v>
      </c>
      <c r="H293" s="5">
        <v>20.1035</v>
      </c>
      <c r="I293" s="8">
        <f>SUMIF(D293:D$1000,D293,E293:E$1000)</f>
        <v>0.53653116000000001</v>
      </c>
      <c r="J293" s="9" cm="1">
        <f t="array" ref="J293">IF(I293&gt;IFERROR(_xlfn.XLOOKUP(D293,D294:D$1000,I294:I$1000,,0,1),0),(IFERROR(_xlfn.XLOOKUP(D293,D294:D$1000,J294:J$1000,,0,1),0)*IFERROR(_xlfn.XLOOKUP(D293,D294:D$1000,I294:I$1000,,0,1),0)-G293*H293)/I293,_xlfn.XLOOKUP(D293,D294:D$1000,J294:J$1000,,0,1))</f>
        <v>1487.1604381747372</v>
      </c>
      <c r="K293" s="10" cm="1">
        <f t="array" ref="K293">IFERROR(IF(I293&lt;_xlfn.XLOOKUP(D293,D294:D$1000,I294:I$1000,,0,1),G293*H293-_xlfn.XLOOKUP(D293,D294:D$1000,J294:J$1000,,0,1)*-E293,0),0)</f>
        <v>0</v>
      </c>
      <c r="L293" s="56">
        <v>137.94900000000001</v>
      </c>
      <c r="M293" s="56">
        <v>137.42400000000001</v>
      </c>
      <c r="N293" s="59" cm="1">
        <f t="array" ref="N293">IF(I293&gt;_xlfn.XLOOKUP(D293,D294:D$1000,I294:I$1000,0,0,1),(_xlfn.XLOOKUP(D293,D294:D$1000,N294:N$1000,0,0,1)*MAX(1,L293/_xlfn.XLOOKUP(D293,D294:D$1000,L294:L$1000,L293,0,1))*_xlfn.XLOOKUP(D293,D294:D$1000,I294:I$1000,0,0,1)-G293*H293)/I293,_xlfn.XLOOKUP(D293,D294:D$1000,N294:N$1000,,0,1)*MAX(1,L293/_xlfn.XLOOKUP(D293,D294:D$1000,L294:L$1000,,0,1)))</f>
        <v>1487.1604381747372</v>
      </c>
      <c r="O293" s="59" cm="1">
        <f t="array" ref="O293">IFERROR(IF(I293&lt;_xlfn.XLOOKUP(D293,D294:D$1000,I294:I$1000,,0,1),G293*H293-_xlfn.XLOOKUP(D293,D294:D$1000,N294:N$1000,,0,1)*-E293*MAX(1,M293/IFERROR(_xlfn.XLOOKUP(D293,D294:D$1000,L294:L$1000,,0,1),M293)),0),0)</f>
        <v>0</v>
      </c>
      <c r="P293" s="56" t="str" cm="1">
        <f t="array" ref="P293">IF(O293&lt;0,1,IF(E293&lt;0, _xlfn.LET(_xlpm.v_cant, ABS(E293), _xlpm.v_fecha, B293, _xlpm.v_ticker, D293, _xlpm.rango_f, B294:B$1000, _xlpm.rango_t, E294:E$1000, _xlpm.filtro, D294:D$1000=_xlpm.v_ticker, _xlpm.c_fechas, _xlfn._xlws.FILTER(_xlpm.rango_f, _xlpm.filtro*(_xlpm.rango_t&gt;0), _xlpm.v_fecha), _xlpm.c_cants, _xlfn._xlws.FILTER(_xlpm.rango_t, _xlpm.filtro*(_xlpm.rango_t&gt;0), 0), _xlpm.v_acums_pasadas, ABS(SUMIFS(E294:E$1000, D294:D$1000, _xlpm.v_ticker, E294:E$1000,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4" spans="1:16" x14ac:dyDescent="0.45">
      <c r="A294" s="3" t="s">
        <v>10</v>
      </c>
      <c r="B294" s="4">
        <f t="shared" si="4"/>
        <v>45646</v>
      </c>
      <c r="C294" s="3" t="s">
        <v>90</v>
      </c>
      <c r="D294" s="3" t="s">
        <v>112</v>
      </c>
      <c r="E294" s="3">
        <v>0.81635941000000001</v>
      </c>
      <c r="F294" s="3">
        <v>60.818800000000003</v>
      </c>
      <c r="G294" s="3">
        <v>-49.65</v>
      </c>
      <c r="H294" s="5">
        <v>20.1035</v>
      </c>
      <c r="I294" s="8">
        <f>SUMIF(D294:D$1000,D294,E294:E$1000)</f>
        <v>0.81635941000000001</v>
      </c>
      <c r="J294" s="9" cm="1">
        <f t="array" ref="J294">IF(I294&gt;IFERROR(_xlfn.XLOOKUP(D294,D295:D$1000,I295:I$1000,,0,1),0),(IFERROR(_xlfn.XLOOKUP(D294,D295:D$1000,J295:J$1000,,0,1),0)*IFERROR(_xlfn.XLOOKUP(D294,D295:D$1000,I295:I$1000,,0,1),0)-G294*H294)/I294,_xlfn.XLOOKUP(D294,D295:D$1000,J295:J$1000,,0,1))</f>
        <v>1222.6707535593912</v>
      </c>
      <c r="K294" s="10" cm="1">
        <f t="array" ref="K294">IFERROR(IF(I294&lt;_xlfn.XLOOKUP(D294,D295:D$1000,I295:I$1000,,0,1),G294*H294-_xlfn.XLOOKUP(D294,D295:D$1000,J295:J$1000,,0,1)*-E294,0),0)</f>
        <v>0</v>
      </c>
      <c r="L294" s="56">
        <v>137.94900000000001</v>
      </c>
      <c r="M294" s="56">
        <v>137.42400000000001</v>
      </c>
      <c r="N294" s="59" cm="1">
        <f t="array" ref="N294">IF(I294&gt;_xlfn.XLOOKUP(D294,D295:D$1000,I295:I$1000,0,0,1),(_xlfn.XLOOKUP(D294,D295:D$1000,N295:N$1000,0,0,1)*MAX(1,L294/_xlfn.XLOOKUP(D294,D295:D$1000,L295:L$1000,L294,0,1))*_xlfn.XLOOKUP(D294,D295:D$1000,I295:I$1000,0,0,1)-G294*H294)/I294,_xlfn.XLOOKUP(D294,D295:D$1000,N295:N$1000,,0,1)*MAX(1,L294/_xlfn.XLOOKUP(D294,D295:D$1000,L295:L$1000,,0,1)))</f>
        <v>1222.6707535593912</v>
      </c>
      <c r="O294" s="59" cm="1">
        <f t="array" ref="O294">IFERROR(IF(I294&lt;_xlfn.XLOOKUP(D294,D295:D$1000,I295:I$1000,,0,1),G294*H294-_xlfn.XLOOKUP(D294,D295:D$1000,N295:N$1000,,0,1)*-E294*MAX(1,M294/IFERROR(_xlfn.XLOOKUP(D294,D295:D$1000,L295:L$1000,,0,1),M294)),0),0)</f>
        <v>0</v>
      </c>
      <c r="P294" s="56" t="str" cm="1">
        <f t="array" ref="P294">IF(O294&lt;0,1,IF(E294&lt;0, _xlfn.LET(_xlpm.v_cant, ABS(E294), _xlpm.v_fecha, B294, _xlpm.v_ticker, D294, _xlpm.rango_f, B295:B$1000, _xlpm.rango_t, E295:E$1000, _xlpm.filtro, D295:D$1000=_xlpm.v_ticker, _xlpm.c_fechas, _xlfn._xlws.FILTER(_xlpm.rango_f, _xlpm.filtro*(_xlpm.rango_t&gt;0), _xlpm.v_fecha), _xlpm.c_cants, _xlfn._xlws.FILTER(_xlpm.rango_t, _xlpm.filtro*(_xlpm.rango_t&gt;0), 0), _xlpm.v_acums_pasadas, ABS(SUMIFS(E295:E$1000, D295:D$1000, _xlpm.v_ticker, E295:E$1000,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5" spans="1:16" x14ac:dyDescent="0.45">
      <c r="A295" s="3" t="s">
        <v>10</v>
      </c>
      <c r="B295" s="4">
        <f t="shared" si="4"/>
        <v>45646</v>
      </c>
      <c r="C295" s="3" t="s">
        <v>90</v>
      </c>
      <c r="D295" s="3" t="s">
        <v>113</v>
      </c>
      <c r="E295" s="3">
        <v>0.20970189</v>
      </c>
      <c r="F295" s="3">
        <v>142.05879999999999</v>
      </c>
      <c r="G295" s="3">
        <v>-29.79</v>
      </c>
      <c r="H295" s="5">
        <v>20.1035</v>
      </c>
      <c r="I295" s="8">
        <f>SUMIF(D295:D$1000,D295,E295:E$1000)</f>
        <v>0.20970189</v>
      </c>
      <c r="J295" s="9" cm="1">
        <f t="array" ref="J295">IF(I295&gt;IFERROR(_xlfn.XLOOKUP(D295,D296:D$1000,I296:I$1000,,0,1),0),(IFERROR(_xlfn.XLOOKUP(D295,D296:D$1000,J296:J$1000,,0,1),0)*IFERROR(_xlfn.XLOOKUP(D295,D296:D$1000,I296:I$1000,,0,1),0)-G295*H295)/I295,_xlfn.XLOOKUP(D295,D296:D$1000,J296:J$1000,,0,1))</f>
        <v>2855.8791959385771</v>
      </c>
      <c r="K295" s="10" cm="1">
        <f t="array" ref="K295">IFERROR(IF(I295&lt;_xlfn.XLOOKUP(D295,D296:D$1000,I296:I$1000,,0,1),G295*H295-_xlfn.XLOOKUP(D295,D296:D$1000,J296:J$1000,,0,1)*-E295,0),0)</f>
        <v>0</v>
      </c>
      <c r="L295" s="56">
        <v>137.94900000000001</v>
      </c>
      <c r="M295" s="56">
        <v>137.42400000000001</v>
      </c>
      <c r="N295" s="59" cm="1">
        <f t="array" ref="N295">IF(I295&gt;_xlfn.XLOOKUP(D295,D296:D$1000,I296:I$1000,0,0,1),(_xlfn.XLOOKUP(D295,D296:D$1000,N296:N$1000,0,0,1)*MAX(1,L295/_xlfn.XLOOKUP(D295,D296:D$1000,L296:L$1000,L295,0,1))*_xlfn.XLOOKUP(D295,D296:D$1000,I296:I$1000,0,0,1)-G295*H295)/I295,_xlfn.XLOOKUP(D295,D296:D$1000,N296:N$1000,,0,1)*MAX(1,L295/_xlfn.XLOOKUP(D295,D296:D$1000,L296:L$1000,,0,1)))</f>
        <v>2855.8791959385771</v>
      </c>
      <c r="O295" s="59" cm="1">
        <f t="array" ref="O295">IFERROR(IF(I295&lt;_xlfn.XLOOKUP(D295,D296:D$1000,I296:I$1000,,0,1),G295*H295-_xlfn.XLOOKUP(D295,D296:D$1000,N296:N$1000,,0,1)*-E295*MAX(1,M295/IFERROR(_xlfn.XLOOKUP(D295,D296:D$1000,L296:L$1000,,0,1),M295)),0),0)</f>
        <v>0</v>
      </c>
      <c r="P295" s="56" t="str" cm="1">
        <f t="array" ref="P295">IF(O295&lt;0,1,IF(E295&lt;0, _xlfn.LET(_xlpm.v_cant, ABS(E295), _xlpm.v_fecha, B295, _xlpm.v_ticker, D295, _xlpm.rango_f, B296:B$1000, _xlpm.rango_t, E296:E$1000, _xlpm.filtro, D296:D$1000=_xlpm.v_ticker, _xlpm.c_fechas, _xlfn._xlws.FILTER(_xlpm.rango_f, _xlpm.filtro*(_xlpm.rango_t&gt;0), _xlpm.v_fecha), _xlpm.c_cants, _xlfn._xlws.FILTER(_xlpm.rango_t, _xlpm.filtro*(_xlpm.rango_t&gt;0), 0), _xlpm.v_acums_pasadas, ABS(SUMIFS(E296:E$1000, D296:D$1000, _xlpm.v_ticker, E296:E$1000,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6" spans="1:16" x14ac:dyDescent="0.45">
      <c r="A296" s="3" t="s">
        <v>10</v>
      </c>
      <c r="B296" s="4">
        <f t="shared" si="4"/>
        <v>45646</v>
      </c>
      <c r="C296" s="3" t="s">
        <v>90</v>
      </c>
      <c r="D296" s="3" t="s">
        <v>94</v>
      </c>
      <c r="E296" s="3">
        <v>0.32096709000000001</v>
      </c>
      <c r="F296" s="3">
        <v>77.328800000000001</v>
      </c>
      <c r="G296" s="3">
        <v>-24.82</v>
      </c>
      <c r="H296" s="5">
        <v>20.1035</v>
      </c>
      <c r="I296" s="8">
        <f>SUMIF(D296:D$1000,D296,E296:E$1000)</f>
        <v>1.3209670899999999</v>
      </c>
      <c r="J296" s="9" cm="1">
        <f t="array" ref="J296">IF(I296&gt;IFERROR(_xlfn.XLOOKUP(D296,D297:D$1000,I297:I$1000,,0,1),0),(IFERROR(_xlfn.XLOOKUP(D296,D297:D$1000,J297:J$1000,,0,1),0)*IFERROR(_xlfn.XLOOKUP(D296,D297:D$1000,I297:I$1000,,0,1),0)-G296*H296)/I296,_xlfn.XLOOKUP(D296,D297:D$1000,J297:J$1000,,0,1))</f>
        <v>1508.0025967944443</v>
      </c>
      <c r="K296" s="10" cm="1">
        <f t="array" ref="K296">IFERROR(IF(I296&lt;_xlfn.XLOOKUP(D296,D297:D$1000,I297:I$1000,,0,1),G296*H296-_xlfn.XLOOKUP(D296,D297:D$1000,J297:J$1000,,0,1)*-E296,0),0)</f>
        <v>0</v>
      </c>
      <c r="L296" s="56">
        <v>137.94900000000001</v>
      </c>
      <c r="M296" s="56">
        <v>137.42400000000001</v>
      </c>
      <c r="N296" s="59" cm="1">
        <f t="array" ref="N296">IF(I296&gt;_xlfn.XLOOKUP(D296,D297:D$1000,I297:I$1000,0,0,1),(_xlfn.XLOOKUP(D296,D297:D$1000,N297:N$1000,0,0,1)*MAX(1,L296/_xlfn.XLOOKUP(D296,D297:D$1000,L297:L$1000,L296,0,1))*_xlfn.XLOOKUP(D296,D297:D$1000,I297:I$1000,0,0,1)-G296*H296)/I296,_xlfn.XLOOKUP(D296,D297:D$1000,N297:N$1000,,0,1)*MAX(1,L296/_xlfn.XLOOKUP(D296,D297:D$1000,L297:L$1000,,0,1)))</f>
        <v>1524.0908221093628</v>
      </c>
      <c r="O296" s="59" cm="1">
        <f t="array" ref="O296">IFERROR(IF(I296&lt;_xlfn.XLOOKUP(D296,D297:D$1000,I297:I$1000,,0,1),G296*H296-_xlfn.XLOOKUP(D296,D297:D$1000,N297:N$1000,,0,1)*-E296*MAX(1,M296/IFERROR(_xlfn.XLOOKUP(D296,D297:D$1000,L297:L$1000,,0,1),M296)),0),0)</f>
        <v>0</v>
      </c>
      <c r="P296" s="56" t="str" cm="1">
        <f t="array" ref="P296">IF(O296&lt;0,1,IF(E296&lt;0, _xlfn.LET(_xlpm.v_cant, ABS(E296), _xlpm.v_fecha, B296, _xlpm.v_ticker, D296, _xlpm.rango_f, B297:B$1000, _xlpm.rango_t, E297:E$1000, _xlpm.filtro, D297:D$1000=_xlpm.v_ticker, _xlpm.c_fechas, _xlfn._xlws.FILTER(_xlpm.rango_f, _xlpm.filtro*(_xlpm.rango_t&gt;0), _xlpm.v_fecha), _xlpm.c_cants, _xlfn._xlws.FILTER(_xlpm.rango_t, _xlpm.filtro*(_xlpm.rango_t&gt;0), 0), _xlpm.v_acums_pasadas, ABS(SUMIFS(E297:E$1000, D297:D$1000, _xlpm.v_ticker, E297:E$1000,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7" spans="1:16" x14ac:dyDescent="0.45">
      <c r="A297" s="3" t="s">
        <v>10</v>
      </c>
      <c r="B297" s="4">
        <f t="shared" si="4"/>
        <v>45646</v>
      </c>
      <c r="C297" s="3" t="s">
        <v>90</v>
      </c>
      <c r="D297" s="3" t="s">
        <v>95</v>
      </c>
      <c r="E297" s="3">
        <v>0.45144571</v>
      </c>
      <c r="F297" s="3">
        <v>109.98</v>
      </c>
      <c r="G297" s="3">
        <v>-49.65</v>
      </c>
      <c r="H297" s="5">
        <v>20.1035</v>
      </c>
      <c r="I297" s="8">
        <f>SUMIF(D297:D$1000,D297,E297:E$1000)</f>
        <v>0.69262478999999999</v>
      </c>
      <c r="J297" s="9" cm="1">
        <f t="array" ref="J297">IF(I297&gt;IFERROR(_xlfn.XLOOKUP(D297,D298:D$1000,I298:I$1000,,0,1),0),(IFERROR(_xlfn.XLOOKUP(D297,D298:D$1000,J298:J$1000,,0,1),0)*IFERROR(_xlfn.XLOOKUP(D297,D298:D$1000,I298:I$1000,,0,1),0)-G297*H297)/I297,_xlfn.XLOOKUP(D297,D298:D$1000,J298:J$1000,,0,1))</f>
        <v>2174.8796992957759</v>
      </c>
      <c r="K297" s="10" cm="1">
        <f t="array" ref="K297">IFERROR(IF(I297&lt;_xlfn.XLOOKUP(D297,D298:D$1000,I298:I$1000,,0,1),G297*H297-_xlfn.XLOOKUP(D297,D298:D$1000,J298:J$1000,,0,1)*-E297,0),0)</f>
        <v>0</v>
      </c>
      <c r="L297" s="56">
        <v>137.94900000000001</v>
      </c>
      <c r="M297" s="56">
        <v>137.42400000000001</v>
      </c>
      <c r="N297" s="59" cm="1">
        <f t="array" ref="N297">IF(I297&gt;_xlfn.XLOOKUP(D297,D298:D$1000,I298:I$1000,0,0,1),(_xlfn.XLOOKUP(D297,D298:D$1000,N298:N$1000,0,0,1)*MAX(1,L297/_xlfn.XLOOKUP(D297,D298:D$1000,L298:L$1000,L297,0,1))*_xlfn.XLOOKUP(D297,D298:D$1000,I298:I$1000,0,0,1)-G297*H297)/I297,_xlfn.XLOOKUP(D297,D298:D$1000,N298:N$1000,,0,1)*MAX(1,L297/_xlfn.XLOOKUP(D297,D298:D$1000,L298:L$1000,,0,1)))</f>
        <v>2185.3243284994683</v>
      </c>
      <c r="O297" s="59" cm="1">
        <f t="array" ref="O297">IFERROR(IF(I297&lt;_xlfn.XLOOKUP(D297,D298:D$1000,I298:I$1000,,0,1),G297*H297-_xlfn.XLOOKUP(D297,D298:D$1000,N298:N$1000,,0,1)*-E297*MAX(1,M297/IFERROR(_xlfn.XLOOKUP(D297,D298:D$1000,L298:L$1000,,0,1),M297)),0),0)</f>
        <v>0</v>
      </c>
      <c r="P297" s="56" t="str" cm="1">
        <f t="array" ref="P297">IF(O297&lt;0,1,IF(E297&lt;0, _xlfn.LET(_xlpm.v_cant, ABS(E297), _xlpm.v_fecha, B297, _xlpm.v_ticker, D297, _xlpm.rango_f, B298:B$1000, _xlpm.rango_t, E298:E$1000, _xlpm.filtro, D298:D$1000=_xlpm.v_ticker, _xlpm.c_fechas, _xlfn._xlws.FILTER(_xlpm.rango_f, _xlpm.filtro*(_xlpm.rango_t&gt;0), _xlpm.v_fecha), _xlpm.c_cants, _xlfn._xlws.FILTER(_xlpm.rango_t, _xlpm.filtro*(_xlpm.rango_t&gt;0), 0), _xlpm.v_acums_pasadas, ABS(SUMIFS(E298:E$1000, D298:D$1000, _xlpm.v_ticker, E298:E$1000,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8" spans="1:16" x14ac:dyDescent="0.45">
      <c r="A298" s="3" t="s">
        <v>10</v>
      </c>
      <c r="B298" s="4">
        <f t="shared" si="4"/>
        <v>45646</v>
      </c>
      <c r="C298" s="3" t="s">
        <v>90</v>
      </c>
      <c r="D298" s="3" t="s">
        <v>114</v>
      </c>
      <c r="E298" s="3">
        <v>0.51164708000000003</v>
      </c>
      <c r="F298" s="3">
        <v>97.02</v>
      </c>
      <c r="G298" s="3">
        <v>-49.64</v>
      </c>
      <c r="H298" s="5">
        <v>20.1035</v>
      </c>
      <c r="I298" s="8">
        <f>SUMIF(D298:D$1000,D298,E298:E$1000)</f>
        <v>0.51164708000000003</v>
      </c>
      <c r="J298" s="9" cm="1">
        <f t="array" ref="J298">IF(I298&gt;IFERROR(_xlfn.XLOOKUP(D298,D299:D$1000,I299:I$1000,,0,1),0),(IFERROR(_xlfn.XLOOKUP(D298,D299:D$1000,J299:J$1000,,0,1),0)*IFERROR(_xlfn.XLOOKUP(D298,D299:D$1000,I299:I$1000,,0,1),0)-G298*H298)/I298,_xlfn.XLOOKUP(D298,D299:D$1000,J299:J$1000,,0,1))</f>
        <v>1950.4415817246529</v>
      </c>
      <c r="K298" s="10" cm="1">
        <f t="array" ref="K298">IFERROR(IF(I298&lt;_xlfn.XLOOKUP(D298,D299:D$1000,I299:I$1000,,0,1),G298*H298-_xlfn.XLOOKUP(D298,D299:D$1000,J299:J$1000,,0,1)*-E298,0),0)</f>
        <v>0</v>
      </c>
      <c r="L298" s="56">
        <v>137.94900000000001</v>
      </c>
      <c r="M298" s="56">
        <v>137.42400000000001</v>
      </c>
      <c r="N298" s="59" cm="1">
        <f t="array" ref="N298">IF(I298&gt;_xlfn.XLOOKUP(D298,D299:D$1000,I299:I$1000,0,0,1),(_xlfn.XLOOKUP(D298,D299:D$1000,N299:N$1000,0,0,1)*MAX(1,L298/_xlfn.XLOOKUP(D298,D299:D$1000,L299:L$1000,L298,0,1))*_xlfn.XLOOKUP(D298,D299:D$1000,I299:I$1000,0,0,1)-G298*H298)/I298,_xlfn.XLOOKUP(D298,D299:D$1000,N299:N$1000,,0,1)*MAX(1,L298/_xlfn.XLOOKUP(D298,D299:D$1000,L299:L$1000,,0,1)))</f>
        <v>1950.4415817246529</v>
      </c>
      <c r="O298" s="59" cm="1">
        <f t="array" ref="O298">IFERROR(IF(I298&lt;_xlfn.XLOOKUP(D298,D299:D$1000,I299:I$1000,,0,1),G298*H298-_xlfn.XLOOKUP(D298,D299:D$1000,N299:N$1000,,0,1)*-E298*MAX(1,M298/IFERROR(_xlfn.XLOOKUP(D298,D299:D$1000,L299:L$1000,,0,1),M298)),0),0)</f>
        <v>0</v>
      </c>
      <c r="P298" s="56" t="str" cm="1">
        <f t="array" ref="P298">IF(O298&lt;0,1,IF(E298&lt;0, _xlfn.LET(_xlpm.v_cant, ABS(E298), _xlpm.v_fecha, B298, _xlpm.v_ticker, D298, _xlpm.rango_f, B299:B$1000, _xlpm.rango_t, E299:E$1000, _xlpm.filtro, D299:D$1000=_xlpm.v_ticker, _xlpm.c_fechas, _xlfn._xlws.FILTER(_xlpm.rango_f, _xlpm.filtro*(_xlpm.rango_t&gt;0), _xlpm.v_fecha), _xlpm.c_cants, _xlfn._xlws.FILTER(_xlpm.rango_t, _xlpm.filtro*(_xlpm.rango_t&gt;0), 0), _xlpm.v_acums_pasadas, ABS(SUMIFS(E299:E$1000, D299:D$1000, _xlpm.v_ticker, E299:E$1000,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299" spans="1:16" x14ac:dyDescent="0.45">
      <c r="A299" s="3" t="s">
        <v>9</v>
      </c>
      <c r="B299" s="4">
        <f t="shared" si="4"/>
        <v>45630</v>
      </c>
      <c r="C299" s="3" t="s">
        <v>90</v>
      </c>
      <c r="D299" s="3" t="s">
        <v>101</v>
      </c>
      <c r="E299" s="3">
        <v>2</v>
      </c>
      <c r="F299" s="3">
        <v>11.9788</v>
      </c>
      <c r="G299" s="3">
        <v>-23.96</v>
      </c>
      <c r="H299" s="5">
        <v>20.283000000000001</v>
      </c>
      <c r="I299" s="8">
        <f>SUMIF(D299:D$1000,D299,E299:E$1000)</f>
        <v>2.4635188800000001</v>
      </c>
      <c r="J299" s="9" cm="1">
        <f t="array" ref="J299">IF(I299&gt;IFERROR(_xlfn.XLOOKUP(D299,D300:D$1000,I300:I$1000,,0,1),0),(IFERROR(_xlfn.XLOOKUP(D299,D300:D$1000,J300:J$1000,,0,1),0)*IFERROR(_xlfn.XLOOKUP(D299,D300:D$1000,I300:I$1000,,0,1),0)-G299*H299)/I299,_xlfn.XLOOKUP(D299,D300:D$1000,J300:J$1000,,0,1))</f>
        <v>242.96600073144151</v>
      </c>
      <c r="K299" s="10" cm="1">
        <f t="array" ref="K299">IFERROR(IF(I299&lt;_xlfn.XLOOKUP(D299,D300:D$1000,I300:I$1000,,0,1),G299*H299-_xlfn.XLOOKUP(D299,D300:D$1000,J300:J$1000,,0,1)*-E299,0),0)</f>
        <v>0</v>
      </c>
      <c r="L299" s="56">
        <v>137.94900000000001</v>
      </c>
      <c r="M299" s="56">
        <v>137.42400000000001</v>
      </c>
      <c r="N299" s="59" cm="1">
        <f t="array" ref="N299">IF(I299&gt;_xlfn.XLOOKUP(D299,D300:D$1000,I300:I$1000,0,0,1),(_xlfn.XLOOKUP(D299,D300:D$1000,N300:N$1000,0,0,1)*MAX(1,L299/_xlfn.XLOOKUP(D299,D300:D$1000,L300:L$1000,L299,0,1))*_xlfn.XLOOKUP(D299,D300:D$1000,I300:I$1000,0,0,1)-G299*H299)/I299,_xlfn.XLOOKUP(D299,D300:D$1000,N300:N$1000,,0,1)*MAX(1,L299/_xlfn.XLOOKUP(D299,D300:D$1000,L300:L$1000,,0,1)))</f>
        <v>242.96600073144151</v>
      </c>
      <c r="O299" s="59" cm="1">
        <f t="array" ref="O299">IFERROR(IF(I299&lt;_xlfn.XLOOKUP(D299,D300:D$1000,I300:I$1000,,0,1),G299*H299-_xlfn.XLOOKUP(D299,D300:D$1000,N300:N$1000,,0,1)*-E299*MAX(1,M299/IFERROR(_xlfn.XLOOKUP(D299,D300:D$1000,L300:L$1000,,0,1),M299)),0),0)</f>
        <v>0</v>
      </c>
      <c r="P299" s="56" t="str" cm="1">
        <f t="array" ref="P299">IF(O299&lt;0,1,IF(E299&lt;0, _xlfn.LET(_xlpm.v_cant, ABS(E299), _xlpm.v_fecha, B299, _xlpm.v_ticker, D299, _xlpm.rango_f, B300:B$1000, _xlpm.rango_t, E300:E$1000, _xlpm.filtro, D300:D$1000=_xlpm.v_ticker, _xlpm.c_fechas, _xlfn._xlws.FILTER(_xlpm.rango_f, _xlpm.filtro*(_xlpm.rango_t&gt;0), _xlpm.v_fecha), _xlpm.c_cants, _xlfn._xlws.FILTER(_xlpm.rango_t, _xlpm.filtro*(_xlpm.rango_t&gt;0), 0), _xlpm.v_acums_pasadas, ABS(SUMIFS(E300:E$1000, D300:D$1000, _xlpm.v_ticker, E300:E$1000,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0" spans="1:16" x14ac:dyDescent="0.45">
      <c r="A300" s="3" t="s">
        <v>9</v>
      </c>
      <c r="B300" s="4">
        <f t="shared" si="4"/>
        <v>45630</v>
      </c>
      <c r="C300" s="3" t="s">
        <v>90</v>
      </c>
      <c r="D300" s="3" t="s">
        <v>101</v>
      </c>
      <c r="E300" s="3">
        <v>0.46351888000000002</v>
      </c>
      <c r="F300" s="3">
        <v>11.9788</v>
      </c>
      <c r="G300" s="3">
        <v>-5.55</v>
      </c>
      <c r="H300" s="5">
        <v>20.283000000000001</v>
      </c>
      <c r="I300" s="8">
        <f>SUMIF(D300:D$1000,D300,E300:E$1000)</f>
        <v>0.46351888000000002</v>
      </c>
      <c r="J300" s="9" cm="1">
        <f t="array" ref="J300">IF(I300&gt;IFERROR(_xlfn.XLOOKUP(D300,D301:D$1000,I301:I$1000,,0,1),0),(IFERROR(_xlfn.XLOOKUP(D300,D301:D$1000,J301:J$1000,,0,1),0)*IFERROR(_xlfn.XLOOKUP(D300,D301:D$1000,I301:I$1000,,0,1),0)-G300*H300)/I300,_xlfn.XLOOKUP(D300,D301:D$1000,J301:J$1000,,0,1))</f>
        <v>242.86098119670982</v>
      </c>
      <c r="K300" s="10" cm="1">
        <f t="array" ref="K300">IFERROR(IF(I300&lt;_xlfn.XLOOKUP(D300,D301:D$1000,I301:I$1000,,0,1),G300*H300-_xlfn.XLOOKUP(D300,D301:D$1000,J301:J$1000,,0,1)*-E300,0),0)</f>
        <v>0</v>
      </c>
      <c r="L300" s="56">
        <v>137.94900000000001</v>
      </c>
      <c r="M300" s="56">
        <v>137.42400000000001</v>
      </c>
      <c r="N300" s="59" cm="1">
        <f t="array" ref="N300">IF(I300&gt;_xlfn.XLOOKUP(D300,D301:D$1000,I301:I$1000,0,0,1),(_xlfn.XLOOKUP(D300,D301:D$1000,N301:N$1000,0,0,1)*MAX(1,L300/_xlfn.XLOOKUP(D300,D301:D$1000,L301:L$1000,L300,0,1))*_xlfn.XLOOKUP(D300,D301:D$1000,I301:I$1000,0,0,1)-G300*H300)/I300,_xlfn.XLOOKUP(D300,D301:D$1000,N301:N$1000,,0,1)*MAX(1,L300/_xlfn.XLOOKUP(D300,D301:D$1000,L301:L$1000,,0,1)))</f>
        <v>242.86098119670982</v>
      </c>
      <c r="O300" s="59" cm="1">
        <f t="array" ref="O300">IFERROR(IF(I300&lt;_xlfn.XLOOKUP(D300,D301:D$1000,I301:I$1000,,0,1),G300*H300-_xlfn.XLOOKUP(D300,D301:D$1000,N301:N$1000,,0,1)*-E300*MAX(1,M300/IFERROR(_xlfn.XLOOKUP(D300,D301:D$1000,L301:L$1000,,0,1),M300)),0),0)</f>
        <v>0</v>
      </c>
      <c r="P300" s="56" t="str" cm="1">
        <f t="array" ref="P300">IF(O300&lt;0,1,IF(E300&lt;0, _xlfn.LET(_xlpm.v_cant, ABS(E300), _xlpm.v_fecha, B300, _xlpm.v_ticker, D300, _xlpm.rango_f, B301:B$1000, _xlpm.rango_t, E301:E$1000, _xlpm.filtro, D301:D$1000=_xlpm.v_ticker, _xlpm.c_fechas, _xlfn._xlws.FILTER(_xlpm.rango_f, _xlpm.filtro*(_xlpm.rango_t&gt;0), _xlpm.v_fecha), _xlpm.c_cants, _xlfn._xlws.FILTER(_xlpm.rango_t, _xlpm.filtro*(_xlpm.rango_t&gt;0), 0), _xlpm.v_acums_pasadas, ABS(SUMIFS(E301:E$1000, D301:D$1000, _xlpm.v_ticker, E301:E$1000,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1" spans="1:16" x14ac:dyDescent="0.45">
      <c r="A301" s="3" t="s">
        <v>8</v>
      </c>
      <c r="B301" s="4">
        <f t="shared" si="4"/>
        <v>45629</v>
      </c>
      <c r="C301" s="3" t="s">
        <v>90</v>
      </c>
      <c r="D301" s="3" t="s">
        <v>100</v>
      </c>
      <c r="E301" s="3">
        <v>6.6204280000000004E-2</v>
      </c>
      <c r="F301" s="3">
        <v>370.36880000000002</v>
      </c>
      <c r="G301" s="3">
        <v>-24.52</v>
      </c>
      <c r="H301" s="5">
        <v>20.3233</v>
      </c>
      <c r="I301" s="8">
        <f>SUMIF(D301:D$1000,D301,E301:E$1000)</f>
        <v>6.6204280000000004E-2</v>
      </c>
      <c r="J301" s="9" cm="1">
        <f t="array" ref="J301">IF(I301&gt;IFERROR(_xlfn.XLOOKUP(D301,D302:D$1000,I302:I$1000,,0,1),0),(IFERROR(_xlfn.XLOOKUP(D301,D302:D$1000,J302:J$1000,,0,1),0)*IFERROR(_xlfn.XLOOKUP(D301,D302:D$1000,I302:I$1000,,0,1),0)-G301*H301)/I301,_xlfn.XLOOKUP(D301,D302:D$1000,J302:J$1000,,0,1))</f>
        <v>7527.1163133259661</v>
      </c>
      <c r="K301" s="10" cm="1">
        <f t="array" ref="K301">IFERROR(IF(I301&lt;_xlfn.XLOOKUP(D301,D302:D$1000,I302:I$1000,,0,1),G301*H301-_xlfn.XLOOKUP(D301,D302:D$1000,J302:J$1000,,0,1)*-E301,0),0)</f>
        <v>0</v>
      </c>
      <c r="L301" s="56">
        <v>137.94900000000001</v>
      </c>
      <c r="M301" s="56">
        <v>137.42400000000001</v>
      </c>
      <c r="N301" s="59" cm="1">
        <f t="array" ref="N301">IF(I301&gt;_xlfn.XLOOKUP(D301,D302:D$1000,I302:I$1000,0,0,1),(_xlfn.XLOOKUP(D301,D302:D$1000,N302:N$1000,0,0,1)*MAX(1,L301/_xlfn.XLOOKUP(D301,D302:D$1000,L302:L$1000,L301,0,1))*_xlfn.XLOOKUP(D301,D302:D$1000,I302:I$1000,0,0,1)-G301*H301)/I301,_xlfn.XLOOKUP(D301,D302:D$1000,N302:N$1000,,0,1)*MAX(1,L301/_xlfn.XLOOKUP(D301,D302:D$1000,L302:L$1000,,0,1)))</f>
        <v>7527.1163133259661</v>
      </c>
      <c r="O301" s="59" cm="1">
        <f t="array" ref="O301">IFERROR(IF(I301&lt;_xlfn.XLOOKUP(D301,D302:D$1000,I302:I$1000,,0,1),G301*H301-_xlfn.XLOOKUP(D301,D302:D$1000,N302:N$1000,,0,1)*-E301*MAX(1,M301/IFERROR(_xlfn.XLOOKUP(D301,D302:D$1000,L302:L$1000,,0,1),M301)),0),0)</f>
        <v>0</v>
      </c>
      <c r="P301" s="56" t="str" cm="1">
        <f t="array" ref="P301">IF(O301&lt;0,1,IF(E301&lt;0, _xlfn.LET(_xlpm.v_cant, ABS(E301), _xlpm.v_fecha, B301, _xlpm.v_ticker, D301, _xlpm.rango_f, B302:B$1000, _xlpm.rango_t, E302:E$1000, _xlpm.filtro, D302:D$1000=_xlpm.v_ticker, _xlpm.c_fechas, _xlfn._xlws.FILTER(_xlpm.rango_f, _xlpm.filtro*(_xlpm.rango_t&gt;0), _xlpm.v_fecha), _xlpm.c_cants, _xlfn._xlws.FILTER(_xlpm.rango_t, _xlpm.filtro*(_xlpm.rango_t&gt;0), 0), _xlpm.v_acums_pasadas, ABS(SUMIFS(E302:E$1000, D302:D$1000, _xlpm.v_ticker, E302:E$1000,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2" spans="1:16" x14ac:dyDescent="0.45">
      <c r="A302" s="3" t="s">
        <v>7</v>
      </c>
      <c r="B302" s="4">
        <f t="shared" si="4"/>
        <v>45628</v>
      </c>
      <c r="C302" s="3" t="s">
        <v>90</v>
      </c>
      <c r="D302" s="3" t="s">
        <v>97</v>
      </c>
      <c r="E302" s="3">
        <v>0.57574616000000001</v>
      </c>
      <c r="F302" s="3">
        <v>42.484000000000002</v>
      </c>
      <c r="G302" s="3">
        <v>-24.46</v>
      </c>
      <c r="H302" s="5">
        <v>20.435700000000001</v>
      </c>
      <c r="I302" s="8">
        <f>SUMIF(D302:D$1000,D302,E302:E$1000)</f>
        <v>11.30530705</v>
      </c>
      <c r="J302" s="9" cm="1">
        <f t="array" ref="J302">IF(I302&gt;IFERROR(_xlfn.XLOOKUP(D302,D303:D$1000,I303:I$1000,,0,1),0),(IFERROR(_xlfn.XLOOKUP(D302,D303:D$1000,J303:J$1000,,0,1),0)*IFERROR(_xlfn.XLOOKUP(D302,D303:D$1000,I303:I$1000,,0,1),0)-G302*H302)/I302,_xlfn.XLOOKUP(D302,D303:D$1000,J303:J$1000,,0,1))</f>
        <v>202.52850735265963</v>
      </c>
      <c r="K302" s="10" cm="1">
        <f t="array" ref="K302">IFERROR(IF(I302&lt;_xlfn.XLOOKUP(D302,D303:D$1000,I303:I$1000,,0,1),G302*H302-_xlfn.XLOOKUP(D302,D303:D$1000,J303:J$1000,,0,1)*-E302,0),0)</f>
        <v>0</v>
      </c>
      <c r="L302" s="56">
        <v>137.94900000000001</v>
      </c>
      <c r="M302" s="56">
        <v>137.42400000000001</v>
      </c>
      <c r="N302" s="59" cm="1">
        <f t="array" ref="N302">IF(I302&gt;_xlfn.XLOOKUP(D302,D303:D$1000,I303:I$1000,0,0,1),(_xlfn.XLOOKUP(D302,D303:D$1000,N303:N$1000,0,0,1)*MAX(1,L302/_xlfn.XLOOKUP(D302,D303:D$1000,L303:L$1000,L302,0,1))*_xlfn.XLOOKUP(D302,D303:D$1000,I303:I$1000,0,0,1)-G302*H302)/I302,_xlfn.XLOOKUP(D302,D303:D$1000,N303:N$1000,,0,1)*MAX(1,L302/_xlfn.XLOOKUP(D302,D303:D$1000,L303:L$1000,,0,1)))</f>
        <v>203.44082315048342</v>
      </c>
      <c r="O302" s="59" cm="1">
        <f t="array" ref="O302">IFERROR(IF(I302&lt;_xlfn.XLOOKUP(D302,D303:D$1000,I303:I$1000,,0,1),G302*H302-_xlfn.XLOOKUP(D302,D303:D$1000,N303:N$1000,,0,1)*-E302*MAX(1,M302/IFERROR(_xlfn.XLOOKUP(D302,D303:D$1000,L303:L$1000,,0,1),M302)),0),0)</f>
        <v>0</v>
      </c>
      <c r="P302" s="56" t="str" cm="1">
        <f t="array" ref="P302">IF(O302&lt;0,1,IF(E302&lt;0, _xlfn.LET(_xlpm.v_cant, ABS(E302), _xlpm.v_fecha, B302, _xlpm.v_ticker, D302, _xlpm.rango_f, B303:B$1000, _xlpm.rango_t, E303:E$1000, _xlpm.filtro, D303:D$1000=_xlpm.v_ticker, _xlpm.c_fechas, _xlfn._xlws.FILTER(_xlpm.rango_f, _xlpm.filtro*(_xlpm.rango_t&gt;0), _xlpm.v_fecha), _xlpm.c_cants, _xlfn._xlws.FILTER(_xlpm.rango_t, _xlpm.filtro*(_xlpm.rango_t&gt;0), 0), _xlpm.v_acums_pasadas, ABS(SUMIFS(E303:E$1000, D303:D$1000, _xlpm.v_ticker, E303:E$1000,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3" spans="1:16" x14ac:dyDescent="0.45">
      <c r="A303" s="3" t="s">
        <v>7</v>
      </c>
      <c r="B303" s="4">
        <f t="shared" si="4"/>
        <v>45628</v>
      </c>
      <c r="C303" s="3" t="s">
        <v>90</v>
      </c>
      <c r="D303" s="3" t="s">
        <v>98</v>
      </c>
      <c r="E303" s="3">
        <v>0.17270753999999999</v>
      </c>
      <c r="F303" s="3">
        <v>141.56880000000001</v>
      </c>
      <c r="G303" s="3">
        <v>-24.45</v>
      </c>
      <c r="H303" s="5">
        <v>20.435700000000001</v>
      </c>
      <c r="I303" s="8">
        <f>SUMIF(D303:D$1000,D303,E303:E$1000)</f>
        <v>0.17270753999999999</v>
      </c>
      <c r="J303" s="9" cm="1">
        <f t="array" ref="J303">IF(I303&gt;IFERROR(_xlfn.XLOOKUP(D303,D304:D$1000,I304:I$1000,,0,1),0),(IFERROR(_xlfn.XLOOKUP(D303,D304:D$1000,J304:J$1000,,0,1),0)*IFERROR(_xlfn.XLOOKUP(D303,D304:D$1000,I304:I$1000,,0,1),0)-G303*H303)/I303,_xlfn.XLOOKUP(D303,D304:D$1000,J304:J$1000,,0,1))</f>
        <v>2893.057622151297</v>
      </c>
      <c r="K303" s="10" cm="1">
        <f t="array" ref="K303">IFERROR(IF(I303&lt;_xlfn.XLOOKUP(D303,D304:D$1000,I304:I$1000,,0,1),G303*H303-_xlfn.XLOOKUP(D303,D304:D$1000,J304:J$1000,,0,1)*-E303,0),0)</f>
        <v>0</v>
      </c>
      <c r="L303" s="56">
        <v>137.94900000000001</v>
      </c>
      <c r="M303" s="56">
        <v>137.42400000000001</v>
      </c>
      <c r="N303" s="59" cm="1">
        <f t="array" ref="N303">IF(I303&gt;_xlfn.XLOOKUP(D303,D304:D$1000,I304:I$1000,0,0,1),(_xlfn.XLOOKUP(D303,D304:D$1000,N304:N$1000,0,0,1)*MAX(1,L303/_xlfn.XLOOKUP(D303,D304:D$1000,L304:L$1000,L303,0,1))*_xlfn.XLOOKUP(D303,D304:D$1000,I304:I$1000,0,0,1)-G303*H303)/I303,_xlfn.XLOOKUP(D303,D304:D$1000,N304:N$1000,,0,1)*MAX(1,L303/_xlfn.XLOOKUP(D303,D304:D$1000,L304:L$1000,,0,1)))</f>
        <v>2893.057622151297</v>
      </c>
      <c r="O303" s="59" cm="1">
        <f t="array" ref="O303">IFERROR(IF(I303&lt;_xlfn.XLOOKUP(D303,D304:D$1000,I304:I$1000,,0,1),G303*H303-_xlfn.XLOOKUP(D303,D304:D$1000,N304:N$1000,,0,1)*-E303*MAX(1,M303/IFERROR(_xlfn.XLOOKUP(D303,D304:D$1000,L304:L$1000,,0,1),M303)),0),0)</f>
        <v>0</v>
      </c>
      <c r="P303" s="56" t="str" cm="1">
        <f t="array" ref="P303">IF(O303&lt;0,1,IF(E303&lt;0, _xlfn.LET(_xlpm.v_cant, ABS(E303), _xlpm.v_fecha, B303, _xlpm.v_ticker, D303, _xlpm.rango_f, B304:B$1000, _xlpm.rango_t, E304:E$1000, _xlpm.filtro, D304:D$1000=_xlpm.v_ticker, _xlpm.c_fechas, _xlfn._xlws.FILTER(_xlpm.rango_f, _xlpm.filtro*(_xlpm.rango_t&gt;0), _xlpm.v_fecha), _xlpm.c_cants, _xlfn._xlws.FILTER(_xlpm.rango_t, _xlpm.filtro*(_xlpm.rango_t&gt;0), 0), _xlpm.v_acums_pasadas, ABS(SUMIFS(E304:E$1000, D304:D$1000, _xlpm.v_ticker, E304:E$1000,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4" spans="1:16" x14ac:dyDescent="0.45">
      <c r="A304" s="3" t="s">
        <v>7</v>
      </c>
      <c r="B304" s="4">
        <f t="shared" si="4"/>
        <v>45628</v>
      </c>
      <c r="C304" s="3" t="s">
        <v>90</v>
      </c>
      <c r="D304" s="3" t="s">
        <v>99</v>
      </c>
      <c r="E304" s="3">
        <v>0.88361347000000001</v>
      </c>
      <c r="F304" s="3">
        <v>44.238799999999998</v>
      </c>
      <c r="G304" s="3">
        <v>-39.090000000000003</v>
      </c>
      <c r="H304" s="5">
        <v>20.435700000000001</v>
      </c>
      <c r="I304" s="8">
        <f>SUMIF(D304:D$1000,D304,E304:E$1000)</f>
        <v>0.88361347000000001</v>
      </c>
      <c r="J304" s="9" cm="1">
        <f t="array" ref="J304">IF(I304&gt;IFERROR(_xlfn.XLOOKUP(D304,D305:D$1000,I305:I$1000,,0,1),0),(IFERROR(_xlfn.XLOOKUP(D304,D305:D$1000,J305:J$1000,,0,1),0)*IFERROR(_xlfn.XLOOKUP(D304,D305:D$1000,I305:I$1000,,0,1),0)-G304*H304)/I304,_xlfn.XLOOKUP(D304,D305:D$1000,J305:J$1000,,0,1))</f>
        <v>904.05085495131721</v>
      </c>
      <c r="K304" s="10" cm="1">
        <f t="array" ref="K304">IFERROR(IF(I304&lt;_xlfn.XLOOKUP(D304,D305:D$1000,I305:I$1000,,0,1),G304*H304-_xlfn.XLOOKUP(D304,D305:D$1000,J305:J$1000,,0,1)*-E304,0),0)</f>
        <v>0</v>
      </c>
      <c r="L304" s="56">
        <v>137.94900000000001</v>
      </c>
      <c r="M304" s="56">
        <v>137.42400000000001</v>
      </c>
      <c r="N304" s="59" cm="1">
        <f t="array" ref="N304">IF(I304&gt;_xlfn.XLOOKUP(D304,D305:D$1000,I305:I$1000,0,0,1),(_xlfn.XLOOKUP(D304,D305:D$1000,N305:N$1000,0,0,1)*MAX(1,L304/_xlfn.XLOOKUP(D304,D305:D$1000,L305:L$1000,L304,0,1))*_xlfn.XLOOKUP(D304,D305:D$1000,I305:I$1000,0,0,1)-G304*H304)/I304,_xlfn.XLOOKUP(D304,D305:D$1000,N305:N$1000,,0,1)*MAX(1,L304/_xlfn.XLOOKUP(D304,D305:D$1000,L305:L$1000,,0,1)))</f>
        <v>904.05085495131721</v>
      </c>
      <c r="O304" s="59" cm="1">
        <f t="array" ref="O304">IFERROR(IF(I304&lt;_xlfn.XLOOKUP(D304,D305:D$1000,I305:I$1000,,0,1),G304*H304-_xlfn.XLOOKUP(D304,D305:D$1000,N305:N$1000,,0,1)*-E304*MAX(1,M304/IFERROR(_xlfn.XLOOKUP(D304,D305:D$1000,L305:L$1000,,0,1),M304)),0),0)</f>
        <v>0</v>
      </c>
      <c r="P304" s="56" t="str" cm="1">
        <f t="array" ref="P304">IF(O304&lt;0,1,IF(E304&lt;0, _xlfn.LET(_xlpm.v_cant, ABS(E304), _xlpm.v_fecha, B304, _xlpm.v_ticker, D304, _xlpm.rango_f, B305:B$1000, _xlpm.rango_t, E305:E$1000, _xlpm.filtro, D305:D$1000=_xlpm.v_ticker, _xlpm.c_fechas, _xlfn._xlws.FILTER(_xlpm.rango_f, _xlpm.filtro*(_xlpm.rango_t&gt;0), _xlpm.v_fecha), _xlpm.c_cants, _xlfn._xlws.FILTER(_xlpm.rango_t, _xlpm.filtro*(_xlpm.rango_t&gt;0), 0), _xlpm.v_acums_pasadas, ABS(SUMIFS(E305:E$1000, D305:D$1000, _xlpm.v_ticker, E305:E$1000,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5" spans="1:16" x14ac:dyDescent="0.45">
      <c r="A305" s="3" t="s">
        <v>20</v>
      </c>
      <c r="B305" s="4">
        <f t="shared" si="4"/>
        <v>45617</v>
      </c>
      <c r="C305" s="3" t="s">
        <v>90</v>
      </c>
      <c r="D305" s="3" t="s">
        <v>97</v>
      </c>
      <c r="E305" s="3">
        <v>0.56129393999999999</v>
      </c>
      <c r="F305" s="3">
        <v>43.488799999999998</v>
      </c>
      <c r="G305" s="3">
        <v>-24.41</v>
      </c>
      <c r="H305" s="5">
        <v>20.377500000000001</v>
      </c>
      <c r="I305" s="8">
        <f>SUMIF(D305:D$1000,D305,E305:E$1000)</f>
        <v>10.729560889999998</v>
      </c>
      <c r="J305" s="9" cm="1">
        <f t="array" ref="J305">IF(I305&gt;IFERROR(_xlfn.XLOOKUP(D305,D306:D$1000,I306:I$1000,,0,1),0),(IFERROR(_xlfn.XLOOKUP(D305,D306:D$1000,J306:J$1000,,0,1),0)*IFERROR(_xlfn.XLOOKUP(D305,D306:D$1000,I306:I$1000,,0,1),0)-G305*H305)/I305,_xlfn.XLOOKUP(D305,D306:D$1000,J306:J$1000,,0,1))</f>
        <v>166.80922531210877</v>
      </c>
      <c r="K305" s="10" cm="1">
        <f t="array" ref="K305">IFERROR(IF(I305&lt;_xlfn.XLOOKUP(D305,D306:D$1000,I306:I$1000,,0,1),G305*H305-_xlfn.XLOOKUP(D305,D306:D$1000,J306:J$1000,,0,1)*-E305,0),0)</f>
        <v>0</v>
      </c>
      <c r="L305" s="56">
        <v>137.42400000000001</v>
      </c>
      <c r="M305" s="56">
        <v>136.828</v>
      </c>
      <c r="N305" s="59" cm="1">
        <f t="array" ref="N305">IF(I305&gt;_xlfn.XLOOKUP(D305,D306:D$1000,I306:I$1000,0,0,1),(_xlfn.XLOOKUP(D305,D306:D$1000,N306:N$1000,0,0,1)*MAX(1,L305/_xlfn.XLOOKUP(D305,D306:D$1000,L306:L$1000,L305,0,1))*_xlfn.XLOOKUP(D305,D306:D$1000,I306:I$1000,0,0,1)-G305*H305)/I305,_xlfn.XLOOKUP(D305,D306:D$1000,N306:N$1000,,0,1)*MAX(1,L305/_xlfn.XLOOKUP(D305,D306:D$1000,L306:L$1000,,0,1)))</f>
        <v>167.1320025131252</v>
      </c>
      <c r="O305" s="59" cm="1">
        <f t="array" ref="O305">IFERROR(IF(I305&lt;_xlfn.XLOOKUP(D305,D306:D$1000,I306:I$1000,,0,1),G305*H305-_xlfn.XLOOKUP(D305,D306:D$1000,N306:N$1000,,0,1)*-E305*MAX(1,M305/IFERROR(_xlfn.XLOOKUP(D305,D306:D$1000,L306:L$1000,,0,1),M305)),0),0)</f>
        <v>0</v>
      </c>
      <c r="P305" s="56" t="str" cm="1">
        <f t="array" ref="P305">IF(O305&lt;0,1,IF(E305&lt;0, _xlfn.LET(_xlpm.v_cant, ABS(E305), _xlpm.v_fecha, B305, _xlpm.v_ticker, D305, _xlpm.rango_f, B306:B$1000, _xlpm.rango_t, E306:E$1000, _xlpm.filtro, D306:D$1000=_xlpm.v_ticker, _xlpm.c_fechas, _xlfn._xlws.FILTER(_xlpm.rango_f, _xlpm.filtro*(_xlpm.rango_t&gt;0), _xlpm.v_fecha), _xlpm.c_cants, _xlfn._xlws.FILTER(_xlpm.rango_t, _xlpm.filtro*(_xlpm.rango_t&gt;0), 0), _xlpm.v_acums_pasadas, ABS(SUMIFS(E306:E$1000, D306:D$1000, _xlpm.v_ticker, E306:E$1000,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6" spans="1:16" x14ac:dyDescent="0.45">
      <c r="A306" s="3" t="s">
        <v>19</v>
      </c>
      <c r="B306" s="4">
        <f t="shared" si="4"/>
        <v>45608</v>
      </c>
      <c r="C306" s="3" t="s">
        <v>90</v>
      </c>
      <c r="D306" s="3" t="s">
        <v>105</v>
      </c>
      <c r="E306" s="3">
        <v>0.46331779000000001</v>
      </c>
      <c r="F306" s="3">
        <v>52.188800000000001</v>
      </c>
      <c r="G306" s="3">
        <v>-24.18</v>
      </c>
      <c r="H306" s="5">
        <v>20.569299999999998</v>
      </c>
      <c r="I306" s="8">
        <f>SUMIF(D306:D$1000,D306,E306:E$1000)</f>
        <v>1.5180315900000001</v>
      </c>
      <c r="J306" s="9" cm="1">
        <f t="array" ref="J306">IF(I306&gt;IFERROR(_xlfn.XLOOKUP(D306,D307:D$1000,I307:I$1000,,0,1),0),(IFERROR(_xlfn.XLOOKUP(D306,D307:D$1000,J307:J$1000,,0,1),0)*IFERROR(_xlfn.XLOOKUP(D306,D307:D$1000,I307:I$1000,,0,1),0)-G306*H306)/I306,_xlfn.XLOOKUP(D306,D307:D$1000,J307:J$1000,,0,1))</f>
        <v>982.43711384161634</v>
      </c>
      <c r="K306" s="10" cm="1">
        <f t="array" ref="K306">IFERROR(IF(I306&lt;_xlfn.XLOOKUP(D306,D307:D$1000,I307:I$1000,,0,1),G306*H306-_xlfn.XLOOKUP(D306,D307:D$1000,J307:J$1000,,0,1)*-E306,0),0)</f>
        <v>0</v>
      </c>
      <c r="L306" s="56">
        <v>137.42400000000001</v>
      </c>
      <c r="M306" s="56">
        <v>136.828</v>
      </c>
      <c r="N306" s="59" cm="1">
        <f t="array" ref="N306">IF(I306&gt;_xlfn.XLOOKUP(D306,D307:D$1000,I307:I$1000,0,0,1),(_xlfn.XLOOKUP(D306,D307:D$1000,N307:N$1000,0,0,1)*MAX(1,L306/_xlfn.XLOOKUP(D306,D307:D$1000,L307:L$1000,L306,0,1))*_xlfn.XLOOKUP(D306,D307:D$1000,I307:I$1000,0,0,1)-G306*H306)/I306,_xlfn.XLOOKUP(D306,D307:D$1000,N307:N$1000,,0,1)*MAX(1,L306/_xlfn.XLOOKUP(D306,D307:D$1000,L307:L$1000,,0,1)))</f>
        <v>985.28930741374518</v>
      </c>
      <c r="O306" s="59" cm="1">
        <f t="array" ref="O306">IFERROR(IF(I306&lt;_xlfn.XLOOKUP(D306,D307:D$1000,I307:I$1000,,0,1),G306*H306-_xlfn.XLOOKUP(D306,D307:D$1000,N307:N$1000,,0,1)*-E306*MAX(1,M306/IFERROR(_xlfn.XLOOKUP(D306,D307:D$1000,L307:L$1000,,0,1),M306)),0),0)</f>
        <v>0</v>
      </c>
      <c r="P306" s="56" t="str" cm="1">
        <f t="array" ref="P306">IF(O306&lt;0,1,IF(E306&lt;0, _xlfn.LET(_xlpm.v_cant, ABS(E306), _xlpm.v_fecha, B306, _xlpm.v_ticker, D306, _xlpm.rango_f, B307:B$1000, _xlpm.rango_t, E307:E$1000, _xlpm.filtro, D307:D$1000=_xlpm.v_ticker, _xlpm.c_fechas, _xlfn._xlws.FILTER(_xlpm.rango_f, _xlpm.filtro*(_xlpm.rango_t&gt;0), _xlpm.v_fecha), _xlpm.c_cants, _xlfn._xlws.FILTER(_xlpm.rango_t, _xlpm.filtro*(_xlpm.rango_t&gt;0), 0), _xlpm.v_acums_pasadas, ABS(SUMIFS(E307:E$1000, D307:D$1000, _xlpm.v_ticker, E307:E$1000,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7" spans="1:16" x14ac:dyDescent="0.45">
      <c r="A307" s="3" t="s">
        <v>18</v>
      </c>
      <c r="B307" s="4">
        <f t="shared" si="4"/>
        <v>45604</v>
      </c>
      <c r="C307" s="3" t="s">
        <v>90</v>
      </c>
      <c r="D307" s="3" t="s">
        <v>120</v>
      </c>
      <c r="E307" s="3">
        <v>0.35908264000000001</v>
      </c>
      <c r="F307" s="3">
        <v>96.328800000000001</v>
      </c>
      <c r="G307" s="3">
        <v>-34.590000000000003</v>
      </c>
      <c r="H307" s="5">
        <v>20.133199999999999</v>
      </c>
      <c r="I307" s="8">
        <f>SUMIF(D307:D$1000,D307,E307:E$1000)</f>
        <v>0.35908264000000001</v>
      </c>
      <c r="J307" s="9" cm="1">
        <f t="array" ref="J307">IF(I307&gt;IFERROR(_xlfn.XLOOKUP(D307,D308:D$1000,I308:I$1000,,0,1),0),(IFERROR(_xlfn.XLOOKUP(D307,D308:D$1000,J308:J$1000,,0,1),0)*IFERROR(_xlfn.XLOOKUP(D307,D308:D$1000,I308:I$1000,,0,1),0)-G307*H307)/I307,_xlfn.XLOOKUP(D307,D308:D$1000,J308:J$1000,,0,1))</f>
        <v>1939.4070066990705</v>
      </c>
      <c r="K307" s="10" cm="1">
        <f t="array" ref="K307">IFERROR(IF(I307&lt;_xlfn.XLOOKUP(D307,D308:D$1000,I308:I$1000,,0,1),G307*H307-_xlfn.XLOOKUP(D307,D308:D$1000,J308:J$1000,,0,1)*-E307,0),0)</f>
        <v>0</v>
      </c>
      <c r="L307" s="56">
        <v>137.42400000000001</v>
      </c>
      <c r="M307" s="56">
        <v>136.828</v>
      </c>
      <c r="N307" s="59" cm="1">
        <f t="array" ref="N307">IF(I307&gt;_xlfn.XLOOKUP(D307,D308:D$1000,I308:I$1000,0,0,1),(_xlfn.XLOOKUP(D307,D308:D$1000,N308:N$1000,0,0,1)*MAX(1,L307/_xlfn.XLOOKUP(D307,D308:D$1000,L308:L$1000,L307,0,1))*_xlfn.XLOOKUP(D307,D308:D$1000,I308:I$1000,0,0,1)-G307*H307)/I307,_xlfn.XLOOKUP(D307,D308:D$1000,N308:N$1000,,0,1)*MAX(1,L307/_xlfn.XLOOKUP(D307,D308:D$1000,L308:L$1000,,0,1)))</f>
        <v>1939.4070066990705</v>
      </c>
      <c r="O307" s="59" cm="1">
        <f t="array" ref="O307">IFERROR(IF(I307&lt;_xlfn.XLOOKUP(D307,D308:D$1000,I308:I$1000,,0,1),G307*H307-_xlfn.XLOOKUP(D307,D308:D$1000,N308:N$1000,,0,1)*-E307*MAX(1,M307/IFERROR(_xlfn.XLOOKUP(D307,D308:D$1000,L308:L$1000,,0,1),M307)),0),0)</f>
        <v>0</v>
      </c>
      <c r="P307" s="56" t="str" cm="1">
        <f t="array" ref="P307">IF(O307&lt;0,1,IF(E307&lt;0, _xlfn.LET(_xlpm.v_cant, ABS(E307), _xlpm.v_fecha, B307, _xlpm.v_ticker, D307, _xlpm.rango_f, B308:B$1000, _xlpm.rango_t, E308:E$1000, _xlpm.filtro, D308:D$1000=_xlpm.v_ticker, _xlpm.c_fechas, _xlfn._xlws.FILTER(_xlpm.rango_f, _xlpm.filtro*(_xlpm.rango_t&gt;0), _xlpm.v_fecha), _xlpm.c_cants, _xlfn._xlws.FILTER(_xlpm.rango_t, _xlpm.filtro*(_xlpm.rango_t&gt;0), 0), _xlpm.v_acums_pasadas, ABS(SUMIFS(E308:E$1000, D308:D$1000, _xlpm.v_ticker, E308:E$1000,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8" spans="1:16" x14ac:dyDescent="0.45">
      <c r="A308" s="3" t="s">
        <v>18</v>
      </c>
      <c r="B308" s="4">
        <f t="shared" si="4"/>
        <v>45604</v>
      </c>
      <c r="C308" s="3" t="s">
        <v>90</v>
      </c>
      <c r="D308" s="3" t="s">
        <v>97</v>
      </c>
      <c r="E308" s="3">
        <v>3</v>
      </c>
      <c r="F308" s="3">
        <v>6.81</v>
      </c>
      <c r="G308" s="3">
        <v>-20.43</v>
      </c>
      <c r="H308" s="5">
        <v>20.133199999999999</v>
      </c>
      <c r="I308" s="8">
        <f>SUMIF(D308:D$1000,D308,E308:E$1000)</f>
        <v>10.16826695</v>
      </c>
      <c r="J308" s="9" cm="1">
        <f t="array" ref="J308">IF(I308&gt;IFERROR(_xlfn.XLOOKUP(D308,D309:D$1000,I309:I$1000,,0,1),0),(IFERROR(_xlfn.XLOOKUP(D308,D309:D$1000,J309:J$1000,,0,1),0)*IFERROR(_xlfn.XLOOKUP(D308,D309:D$1000,I309:I$1000,,0,1),0)-G308*H308)/I308,_xlfn.XLOOKUP(D308,D309:D$1000,J309:J$1000,,0,1))</f>
        <v>127.09884303342371</v>
      </c>
      <c r="K308" s="10" cm="1">
        <f t="array" ref="K308">IFERROR(IF(I308&lt;_xlfn.XLOOKUP(D308,D309:D$1000,I309:I$1000,,0,1),G308*H308-_xlfn.XLOOKUP(D308,D309:D$1000,J309:J$1000,,0,1)*-E308,0),0)</f>
        <v>0</v>
      </c>
      <c r="L308" s="56">
        <v>137.42400000000001</v>
      </c>
      <c r="M308" s="56">
        <v>136.828</v>
      </c>
      <c r="N308" s="59" cm="1">
        <f t="array" ref="N308">IF(I308&gt;_xlfn.XLOOKUP(D308,D309:D$1000,I309:I$1000,0,0,1),(_xlfn.XLOOKUP(D308,D309:D$1000,N309:N$1000,0,0,1)*MAX(1,L308/_xlfn.XLOOKUP(D308,D309:D$1000,L309:L$1000,L308,0,1))*_xlfn.XLOOKUP(D308,D309:D$1000,I309:I$1000,0,0,1)-G308*H308)/I308,_xlfn.XLOOKUP(D308,D309:D$1000,N309:N$1000,,0,1)*MAX(1,L308/_xlfn.XLOOKUP(D308,D309:D$1000,L309:L$1000,,0,1)))</f>
        <v>127.43943771383871</v>
      </c>
      <c r="O308" s="59" cm="1">
        <f t="array" ref="O308">IFERROR(IF(I308&lt;_xlfn.XLOOKUP(D308,D309:D$1000,I309:I$1000,,0,1),G308*H308-_xlfn.XLOOKUP(D308,D309:D$1000,N309:N$1000,,0,1)*-E308*MAX(1,M308/IFERROR(_xlfn.XLOOKUP(D308,D309:D$1000,L309:L$1000,,0,1),M308)),0),0)</f>
        <v>0</v>
      </c>
      <c r="P308" s="56" t="str" cm="1">
        <f t="array" ref="P308">IF(O308&lt;0,1,IF(E308&lt;0, _xlfn.LET(_xlpm.v_cant, ABS(E308), _xlpm.v_fecha, B308, _xlpm.v_ticker, D308, _xlpm.rango_f, B309:B$1000, _xlpm.rango_t, E309:E$1000, _xlpm.filtro, D309:D$1000=_xlpm.v_ticker, _xlpm.c_fechas, _xlfn._xlws.FILTER(_xlpm.rango_f, _xlpm.filtro*(_xlpm.rango_t&gt;0), _xlpm.v_fecha), _xlpm.c_cants, _xlfn._xlws.FILTER(_xlpm.rango_t, _xlpm.filtro*(_xlpm.rango_t&gt;0), 0), _xlpm.v_acums_pasadas, ABS(SUMIFS(E309:E$1000, D309:D$1000, _xlpm.v_ticker, E309:E$1000,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09" spans="1:16" x14ac:dyDescent="0.45">
      <c r="A309" s="3" t="s">
        <v>18</v>
      </c>
      <c r="B309" s="4">
        <f t="shared" si="4"/>
        <v>45604</v>
      </c>
      <c r="C309" s="3" t="s">
        <v>90</v>
      </c>
      <c r="D309" s="3" t="s">
        <v>97</v>
      </c>
      <c r="E309" s="3">
        <v>0.62701907999999995</v>
      </c>
      <c r="F309" s="3">
        <v>6.81</v>
      </c>
      <c r="G309" s="3">
        <v>-4.2699999999999996</v>
      </c>
      <c r="H309" s="5">
        <v>20.133199999999999</v>
      </c>
      <c r="I309" s="8">
        <f>SUMIF(D309:D$1000,D309,E309:E$1000)</f>
        <v>7.1682669500000005</v>
      </c>
      <c r="J309" s="9" cm="1">
        <f t="array" ref="J309">IF(I309&gt;IFERROR(_xlfn.XLOOKUP(D309,D310:D$1000,I310:I$1000,,0,1),0),(IFERROR(_xlfn.XLOOKUP(D309,D310:D$1000,J310:J$1000,,0,1),0)*IFERROR(_xlfn.XLOOKUP(D309,D310:D$1000,I310:I$1000,,0,1),0)-G309*H309)/I309,_xlfn.XLOOKUP(D309,D310:D$1000,J310:J$1000,,0,1))</f>
        <v>122.91027875294179</v>
      </c>
      <c r="K309" s="10" cm="1">
        <f t="array" ref="K309">IFERROR(IF(I309&lt;_xlfn.XLOOKUP(D309,D310:D$1000,I310:I$1000,,0,1),G309*H309-_xlfn.XLOOKUP(D309,D310:D$1000,J310:J$1000,,0,1)*-E309,0),0)</f>
        <v>0</v>
      </c>
      <c r="L309" s="56">
        <v>137.42400000000001</v>
      </c>
      <c r="M309" s="56">
        <v>136.828</v>
      </c>
      <c r="N309" s="59" cm="1">
        <f t="array" ref="N309">IF(I309&gt;_xlfn.XLOOKUP(D309,D310:D$1000,I310:I$1000,0,0,1),(_xlfn.XLOOKUP(D309,D310:D$1000,N310:N$1000,0,0,1)*MAX(1,L309/_xlfn.XLOOKUP(D309,D310:D$1000,L310:L$1000,L309,0,1))*_xlfn.XLOOKUP(D309,D310:D$1000,I310:I$1000,0,0,1)-G309*H309)/I309,_xlfn.XLOOKUP(D309,D310:D$1000,N310:N$1000,,0,1)*MAX(1,L309/_xlfn.XLOOKUP(D309,D310:D$1000,L310:L$1000,,0,1)))</f>
        <v>123.39341612162053</v>
      </c>
      <c r="O309" s="59" cm="1">
        <f t="array" ref="O309">IFERROR(IF(I309&lt;_xlfn.XLOOKUP(D309,D310:D$1000,I310:I$1000,,0,1),G309*H309-_xlfn.XLOOKUP(D309,D310:D$1000,N310:N$1000,,0,1)*-E309*MAX(1,M309/IFERROR(_xlfn.XLOOKUP(D309,D310:D$1000,L310:L$1000,,0,1),M309)),0),0)</f>
        <v>0</v>
      </c>
      <c r="P309" s="56" t="str" cm="1">
        <f t="array" ref="P309">IF(O309&lt;0,1,IF(E309&lt;0, _xlfn.LET(_xlpm.v_cant, ABS(E309), _xlpm.v_fecha, B309, _xlpm.v_ticker, D309, _xlpm.rango_f, B310:B$1000, _xlpm.rango_t, E310:E$1000, _xlpm.filtro, D310:D$1000=_xlpm.v_ticker, _xlpm.c_fechas, _xlfn._xlws.FILTER(_xlpm.rango_f, _xlpm.filtro*(_xlpm.rango_t&gt;0), _xlpm.v_fecha), _xlpm.c_cants, _xlfn._xlws.FILTER(_xlpm.rango_t, _xlpm.filtro*(_xlpm.rango_t&gt;0), 0), _xlpm.v_acums_pasadas, ABS(SUMIFS(E310:E$1000, D310:D$1000, _xlpm.v_ticker, E310:E$1000,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0" spans="1:16" x14ac:dyDescent="0.45">
      <c r="A310" s="3" t="s">
        <v>17</v>
      </c>
      <c r="B310" s="4">
        <f t="shared" si="4"/>
        <v>45601</v>
      </c>
      <c r="C310" s="3" t="s">
        <v>90</v>
      </c>
      <c r="D310" s="3" t="s">
        <v>126</v>
      </c>
      <c r="E310" s="3">
        <v>4</v>
      </c>
      <c r="F310" s="3">
        <v>9.6</v>
      </c>
      <c r="G310" s="3">
        <v>-38.4</v>
      </c>
      <c r="H310" s="5">
        <v>20.269500000000001</v>
      </c>
      <c r="I310" s="8">
        <f>SUMIF(D310:D$1000,D310,E310:E$1000)</f>
        <v>4.13645833</v>
      </c>
      <c r="J310" s="9" cm="1">
        <f t="array" ref="J310">IF(I310&gt;IFERROR(_xlfn.XLOOKUP(D310,D311:D$1000,I311:I$1000,,0,1),0),(IFERROR(_xlfn.XLOOKUP(D310,D311:D$1000,J311:J$1000,,0,1),0)*IFERROR(_xlfn.XLOOKUP(D310,D311:D$1000,I311:I$1000,,0,1),0)-G310*H310)/I310,_xlfn.XLOOKUP(D310,D311:D$1000,J311:J$1000,,0,1))</f>
        <v>194.5872001568066</v>
      </c>
      <c r="K310" s="10" cm="1">
        <f t="array" ref="K310">IFERROR(IF(I310&lt;_xlfn.XLOOKUP(D310,D311:D$1000,I311:I$1000,,0,1),G310*H310-_xlfn.XLOOKUP(D310,D311:D$1000,J311:J$1000,,0,1)*-E310,0),0)</f>
        <v>0</v>
      </c>
      <c r="L310" s="56">
        <v>137.42400000000001</v>
      </c>
      <c r="M310" s="56">
        <v>136.828</v>
      </c>
      <c r="N310" s="59" cm="1">
        <f t="array" ref="N310">IF(I310&gt;_xlfn.XLOOKUP(D310,D311:D$1000,I311:I$1000,0,0,1),(_xlfn.XLOOKUP(D310,D311:D$1000,N311:N$1000,0,0,1)*MAX(1,L310/_xlfn.XLOOKUP(D310,D311:D$1000,L311:L$1000,L310,0,1))*_xlfn.XLOOKUP(D310,D311:D$1000,I311:I$1000,0,0,1)-G310*H310)/I310,_xlfn.XLOOKUP(D310,D311:D$1000,N311:N$1000,,0,1)*MAX(1,L310/_xlfn.XLOOKUP(D310,D311:D$1000,L311:L$1000,,0,1)))</f>
        <v>194.5872001568066</v>
      </c>
      <c r="O310" s="59" cm="1">
        <f t="array" ref="O310">IFERROR(IF(I310&lt;_xlfn.XLOOKUP(D310,D311:D$1000,I311:I$1000,,0,1),G310*H310-_xlfn.XLOOKUP(D310,D311:D$1000,N311:N$1000,,0,1)*-E310*MAX(1,M310/IFERROR(_xlfn.XLOOKUP(D310,D311:D$1000,L311:L$1000,,0,1),M310)),0),0)</f>
        <v>0</v>
      </c>
      <c r="P310" s="56" t="str" cm="1">
        <f t="array" ref="P310">IF(O310&lt;0,1,IF(E310&lt;0, _xlfn.LET(_xlpm.v_cant, ABS(E310), _xlpm.v_fecha, B310, _xlpm.v_ticker, D310, _xlpm.rango_f, B311:B$1000, _xlpm.rango_t, E311:E$1000, _xlpm.filtro, D311:D$1000=_xlpm.v_ticker, _xlpm.c_fechas, _xlfn._xlws.FILTER(_xlpm.rango_f, _xlpm.filtro*(_xlpm.rango_t&gt;0), _xlpm.v_fecha), _xlpm.c_cants, _xlfn._xlws.FILTER(_xlpm.rango_t, _xlpm.filtro*(_xlpm.rango_t&gt;0), 0), _xlpm.v_acums_pasadas, ABS(SUMIFS(E311:E$1000, D311:D$1000, _xlpm.v_ticker, E311:E$1000,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1" spans="1:16" x14ac:dyDescent="0.45">
      <c r="A311" s="3" t="s">
        <v>17</v>
      </c>
      <c r="B311" s="4">
        <f t="shared" si="4"/>
        <v>45601</v>
      </c>
      <c r="C311" s="3" t="s">
        <v>90</v>
      </c>
      <c r="D311" s="3" t="s">
        <v>126</v>
      </c>
      <c r="E311" s="3">
        <v>0.13645832999999999</v>
      </c>
      <c r="F311" s="3">
        <v>9.6</v>
      </c>
      <c r="G311" s="3">
        <v>-1.31</v>
      </c>
      <c r="H311" s="5">
        <v>20.269500000000001</v>
      </c>
      <c r="I311" s="8">
        <f>SUMIF(D311:D$1000,D311,E311:E$1000)</f>
        <v>0.13645832999999999</v>
      </c>
      <c r="J311" s="9" cm="1">
        <f t="array" ref="J311">IF(I311&gt;IFERROR(_xlfn.XLOOKUP(D311,D312:D$1000,I312:I$1000,,0,1),0),(IFERROR(_xlfn.XLOOKUP(D311,D312:D$1000,J312:J$1000,,0,1),0)*IFERROR(_xlfn.XLOOKUP(D311,D312:D$1000,I312:I$1000,,0,1),0)-G311*H311)/I311,_xlfn.XLOOKUP(D311,D312:D$1000,J312:J$1000,,0,1))</f>
        <v>194.58720475327524</v>
      </c>
      <c r="K311" s="10" cm="1">
        <f t="array" ref="K311">IFERROR(IF(I311&lt;_xlfn.XLOOKUP(D311,D312:D$1000,I312:I$1000,,0,1),G311*H311-_xlfn.XLOOKUP(D311,D312:D$1000,J312:J$1000,,0,1)*-E311,0),0)</f>
        <v>0</v>
      </c>
      <c r="L311" s="56">
        <v>137.42400000000001</v>
      </c>
      <c r="M311" s="56">
        <v>136.828</v>
      </c>
      <c r="N311" s="59" cm="1">
        <f t="array" ref="N311">IF(I311&gt;_xlfn.XLOOKUP(D311,D312:D$1000,I312:I$1000,0,0,1),(_xlfn.XLOOKUP(D311,D312:D$1000,N312:N$1000,0,0,1)*MAX(1,L311/_xlfn.XLOOKUP(D311,D312:D$1000,L312:L$1000,L311,0,1))*_xlfn.XLOOKUP(D311,D312:D$1000,I312:I$1000,0,0,1)-G311*H311)/I311,_xlfn.XLOOKUP(D311,D312:D$1000,N312:N$1000,,0,1)*MAX(1,L311/_xlfn.XLOOKUP(D311,D312:D$1000,L312:L$1000,,0,1)))</f>
        <v>194.58720475327524</v>
      </c>
      <c r="O311" s="59" cm="1">
        <f t="array" ref="O311">IFERROR(IF(I311&lt;_xlfn.XLOOKUP(D311,D312:D$1000,I312:I$1000,,0,1),G311*H311-_xlfn.XLOOKUP(D311,D312:D$1000,N312:N$1000,,0,1)*-E311*MAX(1,M311/IFERROR(_xlfn.XLOOKUP(D311,D312:D$1000,L312:L$1000,,0,1),M311)),0),0)</f>
        <v>0</v>
      </c>
      <c r="P311" s="56" t="str" cm="1">
        <f t="array" ref="P311">IF(O311&lt;0,1,IF(E311&lt;0, _xlfn.LET(_xlpm.v_cant, ABS(E311), _xlpm.v_fecha, B311, _xlpm.v_ticker, D311, _xlpm.rango_f, B312:B$1000, _xlpm.rango_t, E312:E$1000, _xlpm.filtro, D312:D$1000=_xlpm.v_ticker, _xlpm.c_fechas, _xlfn._xlws.FILTER(_xlpm.rango_f, _xlpm.filtro*(_xlpm.rango_t&gt;0), _xlpm.v_fecha), _xlpm.c_cants, _xlfn._xlws.FILTER(_xlpm.rango_t, _xlpm.filtro*(_xlpm.rango_t&gt;0), 0), _xlpm.v_acums_pasadas, ABS(SUMIFS(E312:E$1000, D312:D$1000, _xlpm.v_ticker, E312:E$1000,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2" spans="1:16" x14ac:dyDescent="0.45">
      <c r="A312" s="3" t="s">
        <v>22</v>
      </c>
      <c r="B312" s="4">
        <f t="shared" si="4"/>
        <v>45586</v>
      </c>
      <c r="C312" s="3" t="s">
        <v>90</v>
      </c>
      <c r="D312" s="3" t="s">
        <v>106</v>
      </c>
      <c r="E312" s="3">
        <v>2</v>
      </c>
      <c r="F312" s="3">
        <v>18.5764</v>
      </c>
      <c r="G312" s="3">
        <v>-37.15</v>
      </c>
      <c r="H312" s="5">
        <v>20.0075</v>
      </c>
      <c r="I312" s="8">
        <f>SUMIF(D312:D$1000,D312,E312:E$1000)</f>
        <v>2.41220042</v>
      </c>
      <c r="J312" s="9" cm="1">
        <f t="array" ref="J312">IF(I312&gt;IFERROR(_xlfn.XLOOKUP(D312,D313:D$1000,I313:I$1000,,0,1),0),(IFERROR(_xlfn.XLOOKUP(D312,D313:D$1000,J313:J$1000,,0,1),0)*IFERROR(_xlfn.XLOOKUP(D312,D313:D$1000,I313:I$1000,,0,1),0)-G312*H312)/I312,_xlfn.XLOOKUP(D312,D313:D$1000,J313:J$1000,,0,1))</f>
        <v>371.66732397799683</v>
      </c>
      <c r="K312" s="10" cm="1">
        <f t="array" ref="K312">IFERROR(IF(I312&lt;_xlfn.XLOOKUP(D312,D313:D$1000,I313:I$1000,,0,1),G312*H312-_xlfn.XLOOKUP(D312,D313:D$1000,J313:J$1000,,0,1)*-E312,0),0)</f>
        <v>0</v>
      </c>
      <c r="L312" s="56">
        <v>136.828</v>
      </c>
      <c r="M312" s="56">
        <v>136.08000000000001</v>
      </c>
      <c r="N312" s="59" cm="1">
        <f t="array" ref="N312">IF(I312&gt;_xlfn.XLOOKUP(D312,D313:D$1000,I313:I$1000,0,0,1),(_xlfn.XLOOKUP(D312,D313:D$1000,N313:N$1000,0,0,1)*MAX(1,L312/_xlfn.XLOOKUP(D312,D313:D$1000,L313:L$1000,L312,0,1))*_xlfn.XLOOKUP(D312,D313:D$1000,I313:I$1000,0,0,1)-G312*H312)/I312,_xlfn.XLOOKUP(D312,D313:D$1000,N313:N$1000,,0,1)*MAX(1,L312/_xlfn.XLOOKUP(D312,D313:D$1000,L313:L$1000,,0,1)))</f>
        <v>371.66732397799683</v>
      </c>
      <c r="O312" s="59" cm="1">
        <f t="array" ref="O312">IFERROR(IF(I312&lt;_xlfn.XLOOKUP(D312,D313:D$1000,I313:I$1000,,0,1),G312*H312-_xlfn.XLOOKUP(D312,D313:D$1000,N313:N$1000,,0,1)*-E312*MAX(1,M312/IFERROR(_xlfn.XLOOKUP(D312,D313:D$1000,L313:L$1000,,0,1),M312)),0),0)</f>
        <v>0</v>
      </c>
      <c r="P312" s="56" t="str" cm="1">
        <f t="array" ref="P312">IF(O312&lt;0,1,IF(E312&lt;0, _xlfn.LET(_xlpm.v_cant, ABS(E312), _xlpm.v_fecha, B312, _xlpm.v_ticker, D312, _xlpm.rango_f, B313:B$1000, _xlpm.rango_t, E313:E$1000, _xlpm.filtro, D313:D$1000=_xlpm.v_ticker, _xlpm.c_fechas, _xlfn._xlws.FILTER(_xlpm.rango_f, _xlpm.filtro*(_xlpm.rango_t&gt;0), _xlpm.v_fecha), _xlpm.c_cants, _xlfn._xlws.FILTER(_xlpm.rango_t, _xlpm.filtro*(_xlpm.rango_t&gt;0), 0), _xlpm.v_acums_pasadas, ABS(SUMIFS(E313:E$1000, D313:D$1000, _xlpm.v_ticker, E313:E$1000,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3" spans="1:16" x14ac:dyDescent="0.45">
      <c r="A313" s="3" t="s">
        <v>22</v>
      </c>
      <c r="B313" s="4">
        <f t="shared" si="4"/>
        <v>45586</v>
      </c>
      <c r="C313" s="3" t="s">
        <v>90</v>
      </c>
      <c r="D313" s="3" t="s">
        <v>106</v>
      </c>
      <c r="E313" s="3">
        <v>0.41220042000000001</v>
      </c>
      <c r="F313" s="3">
        <v>18.5764</v>
      </c>
      <c r="G313" s="3">
        <v>-7.66</v>
      </c>
      <c r="H313" s="5">
        <v>20.0075</v>
      </c>
      <c r="I313" s="8">
        <f>SUMIF(D313:D$1000,D313,E313:E$1000)</f>
        <v>0.41220042000000001</v>
      </c>
      <c r="J313" s="9" cm="1">
        <f t="array" ref="J313">IF(I313&gt;IFERROR(_xlfn.XLOOKUP(D313,D314:D$1000,I314:I$1000,,0,1),0),(IFERROR(_xlfn.XLOOKUP(D313,D314:D$1000,J314:J$1000,,0,1),0)*IFERROR(_xlfn.XLOOKUP(D313,D314:D$1000,I314:I$1000,,0,1),0)-G313*H313)/I313,_xlfn.XLOOKUP(D313,D314:D$1000,J314:J$1000,,0,1))</f>
        <v>371.80323591130741</v>
      </c>
      <c r="K313" s="10" cm="1">
        <f t="array" ref="K313">IFERROR(IF(I313&lt;_xlfn.XLOOKUP(D313,D314:D$1000,I314:I$1000,,0,1),G313*H313-_xlfn.XLOOKUP(D313,D314:D$1000,J314:J$1000,,0,1)*-E313,0),0)</f>
        <v>0</v>
      </c>
      <c r="L313" s="56">
        <v>136.828</v>
      </c>
      <c r="M313" s="56">
        <v>136.08000000000001</v>
      </c>
      <c r="N313" s="59" cm="1">
        <f t="array" ref="N313">IF(I313&gt;_xlfn.XLOOKUP(D313,D314:D$1000,I314:I$1000,0,0,1),(_xlfn.XLOOKUP(D313,D314:D$1000,N314:N$1000,0,0,1)*MAX(1,L313/_xlfn.XLOOKUP(D313,D314:D$1000,L314:L$1000,L313,0,1))*_xlfn.XLOOKUP(D313,D314:D$1000,I314:I$1000,0,0,1)-G313*H313)/I313,_xlfn.XLOOKUP(D313,D314:D$1000,N314:N$1000,,0,1)*MAX(1,L313/_xlfn.XLOOKUP(D313,D314:D$1000,L314:L$1000,,0,1)))</f>
        <v>371.80323591130741</v>
      </c>
      <c r="O313" s="59" cm="1">
        <f t="array" ref="O313">IFERROR(IF(I313&lt;_xlfn.XLOOKUP(D313,D314:D$1000,I314:I$1000,,0,1),G313*H313-_xlfn.XLOOKUP(D313,D314:D$1000,N314:N$1000,,0,1)*-E313*MAX(1,M313/IFERROR(_xlfn.XLOOKUP(D313,D314:D$1000,L314:L$1000,,0,1),M313)),0),0)</f>
        <v>0</v>
      </c>
      <c r="P313" s="56" t="str" cm="1">
        <f t="array" ref="P313">IF(O313&lt;0,1,IF(E313&lt;0, _xlfn.LET(_xlpm.v_cant, ABS(E313), _xlpm.v_fecha, B313, _xlpm.v_ticker, D313, _xlpm.rango_f, B314:B$1000, _xlpm.rango_t, E314:E$1000, _xlpm.filtro, D314:D$1000=_xlpm.v_ticker, _xlpm.c_fechas, _xlfn._xlws.FILTER(_xlpm.rango_f, _xlpm.filtro*(_xlpm.rango_t&gt;0), _xlpm.v_fecha), _xlpm.c_cants, _xlfn._xlws.FILTER(_xlpm.rango_t, _xlpm.filtro*(_xlpm.rango_t&gt;0), 0), _xlpm.v_acums_pasadas, ABS(SUMIFS(E314:E$1000, D314:D$1000, _xlpm.v_ticker, E314:E$1000,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4" spans="1:16" x14ac:dyDescent="0.45">
      <c r="A314" s="3" t="s">
        <v>22</v>
      </c>
      <c r="B314" s="4">
        <f t="shared" si="4"/>
        <v>45586</v>
      </c>
      <c r="C314" s="3" t="s">
        <v>90</v>
      </c>
      <c r="D314" s="3" t="s">
        <v>102</v>
      </c>
      <c r="E314" s="3">
        <v>3.5565949999999999E-2</v>
      </c>
      <c r="F314" s="3">
        <v>909.85879999999997</v>
      </c>
      <c r="G314" s="3">
        <v>-32.36</v>
      </c>
      <c r="H314" s="5">
        <v>20.0075</v>
      </c>
      <c r="I314" s="8">
        <f>SUMIF(D314:D$1000,D314,E314:E$1000)</f>
        <v>0.11169801</v>
      </c>
      <c r="J314" s="9" cm="1">
        <f t="array" ref="J314">IF(I314&gt;IFERROR(_xlfn.XLOOKUP(D314,D315:D$1000,I315:I$1000,,0,1),0),(IFERROR(_xlfn.XLOOKUP(D314,D315:D$1000,J315:J$1000,,0,1),0)*IFERROR(_xlfn.XLOOKUP(D314,D315:D$1000,I315:I$1000,,0,1),0)-G314*H314)/I314,_xlfn.XLOOKUP(D314,D315:D$1000,J315:J$1000,,0,1))</f>
        <v>16412.363801288851</v>
      </c>
      <c r="K314" s="10" cm="1">
        <f t="array" ref="K314">IFERROR(IF(I314&lt;_xlfn.XLOOKUP(D314,D315:D$1000,I315:I$1000,,0,1),G314*H314-_xlfn.XLOOKUP(D314,D315:D$1000,J315:J$1000,,0,1)*-E314,0),0)</f>
        <v>0</v>
      </c>
      <c r="L314" s="56">
        <v>136.828</v>
      </c>
      <c r="M314" s="56">
        <v>136.08000000000001</v>
      </c>
      <c r="N314" s="59" cm="1">
        <f t="array" ref="N314">IF(I314&gt;_xlfn.XLOOKUP(D314,D315:D$1000,I315:I$1000,0,0,1),(_xlfn.XLOOKUP(D314,D315:D$1000,N315:N$1000,0,0,1)*MAX(1,L314/_xlfn.XLOOKUP(D314,D315:D$1000,L315:L$1000,L314,0,1))*_xlfn.XLOOKUP(D314,D315:D$1000,I315:I$1000,0,0,1)-G314*H314)/I314,_xlfn.XLOOKUP(D314,D315:D$1000,N315:N$1000,,0,1)*MAX(1,L314/_xlfn.XLOOKUP(D314,D315:D$1000,L315:L$1000,,0,1)))</f>
        <v>16502.599233227975</v>
      </c>
      <c r="O314" s="59" cm="1">
        <f t="array" ref="O314">IFERROR(IF(I314&lt;_xlfn.XLOOKUP(D314,D315:D$1000,I315:I$1000,,0,1),G314*H314-_xlfn.XLOOKUP(D314,D315:D$1000,N315:N$1000,,0,1)*-E314*MAX(1,M314/IFERROR(_xlfn.XLOOKUP(D314,D315:D$1000,L315:L$1000,,0,1),M314)),0),0)</f>
        <v>0</v>
      </c>
      <c r="P314" s="56" t="str" cm="1">
        <f t="array" ref="P314">IF(O314&lt;0,1,IF(E314&lt;0, _xlfn.LET(_xlpm.v_cant, ABS(E314), _xlpm.v_fecha, B314, _xlpm.v_ticker, D314, _xlpm.rango_f, B315:B$1000, _xlpm.rango_t, E315:E$1000, _xlpm.filtro, D315:D$1000=_xlpm.v_ticker, _xlpm.c_fechas, _xlfn._xlws.FILTER(_xlpm.rango_f, _xlpm.filtro*(_xlpm.rango_t&gt;0), _xlpm.v_fecha), _xlpm.c_cants, _xlfn._xlws.FILTER(_xlpm.rango_t, _xlpm.filtro*(_xlpm.rango_t&gt;0), 0), _xlpm.v_acums_pasadas, ABS(SUMIFS(E315:E$1000, D315:D$1000, _xlpm.v_ticker, E315:E$1000,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5" spans="1:16" x14ac:dyDescent="0.45">
      <c r="A315" s="3" t="s">
        <v>21</v>
      </c>
      <c r="B315" s="4">
        <f t="shared" si="4"/>
        <v>45583</v>
      </c>
      <c r="C315" s="3" t="s">
        <v>90</v>
      </c>
      <c r="D315" s="3" t="s">
        <v>93</v>
      </c>
      <c r="E315" s="3">
        <v>0.29804891</v>
      </c>
      <c r="F315" s="3">
        <v>117.69880000000001</v>
      </c>
      <c r="G315" s="3">
        <v>-35.08</v>
      </c>
      <c r="H315" s="5">
        <v>19.8325</v>
      </c>
      <c r="I315" s="8">
        <f>SUMIF(D315:D$1000,D315,E315:E$1000)</f>
        <v>0.95681116999999993</v>
      </c>
      <c r="J315" s="9" cm="1">
        <f t="array" ref="J315">IF(I315&gt;IFERROR(_xlfn.XLOOKUP(D315,D316:D$1000,I316:I$1000,,0,1),0),(IFERROR(_xlfn.XLOOKUP(D315,D316:D$1000,J316:J$1000,,0,1),0)*IFERROR(_xlfn.XLOOKUP(D315,D316:D$1000,I316:I$1000,,0,1),0)-G315*H315)/I315,_xlfn.XLOOKUP(D315,D316:D$1000,J316:J$1000,,0,1))</f>
        <v>2288.0140059401683</v>
      </c>
      <c r="K315" s="10" cm="1">
        <f t="array" ref="K315">IFERROR(IF(I315&lt;_xlfn.XLOOKUP(D315,D316:D$1000,I316:I$1000,,0,1),G315*H315-_xlfn.XLOOKUP(D315,D316:D$1000,J316:J$1000,,0,1)*-E315,0),0)</f>
        <v>0</v>
      </c>
      <c r="L315" s="56">
        <v>136.828</v>
      </c>
      <c r="M315" s="56">
        <v>136.08000000000001</v>
      </c>
      <c r="N315" s="59" cm="1">
        <f t="array" ref="N315">IF(I315&gt;_xlfn.XLOOKUP(D315,D316:D$1000,I316:I$1000,0,0,1),(_xlfn.XLOOKUP(D315,D316:D$1000,N316:N$1000,0,0,1)*MAX(1,L315/_xlfn.XLOOKUP(D315,D316:D$1000,L316:L$1000,L315,0,1))*_xlfn.XLOOKUP(D315,D316:D$1000,I316:I$1000,0,0,1)-G315*H315)/I315,_xlfn.XLOOKUP(D315,D316:D$1000,N316:N$1000,,0,1)*MAX(1,L315/_xlfn.XLOOKUP(D315,D316:D$1000,L316:L$1000,,0,1)))</f>
        <v>2305.1581162243815</v>
      </c>
      <c r="O315" s="59" cm="1">
        <f t="array" ref="O315">IFERROR(IF(I315&lt;_xlfn.XLOOKUP(D315,D316:D$1000,I316:I$1000,,0,1),G315*H315-_xlfn.XLOOKUP(D315,D316:D$1000,N316:N$1000,,0,1)*-E315*MAX(1,M315/IFERROR(_xlfn.XLOOKUP(D315,D316:D$1000,L316:L$1000,,0,1),M315)),0),0)</f>
        <v>0</v>
      </c>
      <c r="P315" s="56" t="str" cm="1">
        <f t="array" ref="P315">IF(O315&lt;0,1,IF(E315&lt;0, _xlfn.LET(_xlpm.v_cant, ABS(E315), _xlpm.v_fecha, B315, _xlpm.v_ticker, D315, _xlpm.rango_f, B316:B$1000, _xlpm.rango_t, E316:E$1000, _xlpm.filtro, D316:D$1000=_xlpm.v_ticker, _xlpm.c_fechas, _xlfn._xlws.FILTER(_xlpm.rango_f, _xlpm.filtro*(_xlpm.rango_t&gt;0), _xlpm.v_fecha), _xlpm.c_cants, _xlfn._xlws.FILTER(_xlpm.rango_t, _xlpm.filtro*(_xlpm.rango_t&gt;0), 0), _xlpm.v_acums_pasadas, ABS(SUMIFS(E316:E$1000, D316:D$1000, _xlpm.v_ticker, E316:E$1000,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6" spans="1:16" x14ac:dyDescent="0.45">
      <c r="A316" s="3" t="s">
        <v>21</v>
      </c>
      <c r="B316" s="4">
        <f t="shared" si="4"/>
        <v>45583</v>
      </c>
      <c r="C316" s="3" t="s">
        <v>90</v>
      </c>
      <c r="D316" s="3" t="s">
        <v>93</v>
      </c>
      <c r="E316" s="3">
        <v>0.29784235999999997</v>
      </c>
      <c r="F316" s="3">
        <v>117.81399999999999</v>
      </c>
      <c r="G316" s="3">
        <v>-35.090000000000003</v>
      </c>
      <c r="H316" s="5">
        <v>19.8325</v>
      </c>
      <c r="I316" s="8">
        <f>SUMIF(D316:D$1000,D316,E316:E$1000)</f>
        <v>0.65876226000000004</v>
      </c>
      <c r="J316" s="9" cm="1">
        <f t="array" ref="J316">IF(I316&gt;IFERROR(_xlfn.XLOOKUP(D316,D317:D$1000,I317:I$1000,,0,1),0),(IFERROR(_xlfn.XLOOKUP(D316,D317:D$1000,J317:J$1000,,0,1),0)*IFERROR(_xlfn.XLOOKUP(D316,D317:D$1000,I317:I$1000,,0,1),0)-G316*H316)/I316,_xlfn.XLOOKUP(D316,D317:D$1000,J317:J$1000,,0,1))</f>
        <v>2267.0898876326032</v>
      </c>
      <c r="K316" s="10" cm="1">
        <f t="array" ref="K316">IFERROR(IF(I316&lt;_xlfn.XLOOKUP(D316,D317:D$1000,I317:I$1000,,0,1),G316*H316-_xlfn.XLOOKUP(D316,D317:D$1000,J317:J$1000,,0,1)*-E316,0),0)</f>
        <v>0</v>
      </c>
      <c r="L316" s="56">
        <v>136.828</v>
      </c>
      <c r="M316" s="56">
        <v>136.08000000000001</v>
      </c>
      <c r="N316" s="59" cm="1">
        <f t="array" ref="N316">IF(I316&gt;_xlfn.XLOOKUP(D316,D317:D$1000,I317:I$1000,0,0,1),(_xlfn.XLOOKUP(D316,D317:D$1000,N317:N$1000,0,0,1)*MAX(1,L316/_xlfn.XLOOKUP(D316,D317:D$1000,L317:L$1000,L316,0,1))*_xlfn.XLOOKUP(D316,D317:D$1000,I317:I$1000,0,0,1)-G316*H316)/I316,_xlfn.XLOOKUP(D316,D317:D$1000,N317:N$1000,,0,1)*MAX(1,L316/_xlfn.XLOOKUP(D316,D317:D$1000,L317:L$1000,,0,1)))</f>
        <v>2291.9906404772587</v>
      </c>
      <c r="O316" s="59" cm="1">
        <f t="array" ref="O316">IFERROR(IF(I316&lt;_xlfn.XLOOKUP(D316,D317:D$1000,I317:I$1000,,0,1),G316*H316-_xlfn.XLOOKUP(D316,D317:D$1000,N317:N$1000,,0,1)*-E316*MAX(1,M316/IFERROR(_xlfn.XLOOKUP(D316,D317:D$1000,L317:L$1000,,0,1),M316)),0),0)</f>
        <v>0</v>
      </c>
      <c r="P316" s="56" t="str" cm="1">
        <f t="array" ref="P316">IF(O316&lt;0,1,IF(E316&lt;0, _xlfn.LET(_xlpm.v_cant, ABS(E316), _xlpm.v_fecha, B316, _xlpm.v_ticker, D316, _xlpm.rango_f, B317:B$1000, _xlpm.rango_t, E317:E$1000, _xlpm.filtro, D317:D$1000=_xlpm.v_ticker, _xlpm.c_fechas, _xlfn._xlws.FILTER(_xlpm.rango_f, _xlpm.filtro*(_xlpm.rango_t&gt;0), _xlpm.v_fecha), _xlpm.c_cants, _xlfn._xlws.FILTER(_xlpm.rango_t, _xlpm.filtro*(_xlpm.rango_t&gt;0), 0), _xlpm.v_acums_pasadas, ABS(SUMIFS(E317:E$1000, D317:D$1000, _xlpm.v_ticker, E317:E$1000,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7" spans="1:16" x14ac:dyDescent="0.45">
      <c r="A317" s="3" t="s">
        <v>21</v>
      </c>
      <c r="B317" s="4">
        <f t="shared" si="4"/>
        <v>45583</v>
      </c>
      <c r="C317" s="3" t="s">
        <v>90</v>
      </c>
      <c r="D317" s="3" t="s">
        <v>102</v>
      </c>
      <c r="E317" s="3">
        <v>3.8310410000000003E-2</v>
      </c>
      <c r="F317" s="3">
        <v>915.93880000000001</v>
      </c>
      <c r="G317" s="3">
        <v>-35.090000000000003</v>
      </c>
      <c r="H317" s="5">
        <v>19.8325</v>
      </c>
      <c r="I317" s="8">
        <f>SUMIF(D317:D$1000,D317,E317:E$1000)</f>
        <v>7.6132060000000001E-2</v>
      </c>
      <c r="J317" s="9" cm="1">
        <f t="array" ref="J317">IF(I317&gt;IFERROR(_xlfn.XLOOKUP(D317,D318:D$1000,I318:I$1000,,0,1),0),(IFERROR(_xlfn.XLOOKUP(D317,D318:D$1000,J318:J$1000,,0,1),0)*IFERROR(_xlfn.XLOOKUP(D317,D318:D$1000,I318:I$1000,,0,1),0)-G317*H317)/I317,_xlfn.XLOOKUP(D317,D318:D$1000,J318:J$1000,,0,1))</f>
        <v>15575.37883514514</v>
      </c>
      <c r="K317" s="10" cm="1">
        <f t="array" ref="K317">IFERROR(IF(I317&lt;_xlfn.XLOOKUP(D317,D318:D$1000,I318:I$1000,,0,1),G317*H317-_xlfn.XLOOKUP(D317,D318:D$1000,J318:J$1000,,0,1)*-E317,0),0)</f>
        <v>0</v>
      </c>
      <c r="L317" s="56">
        <v>136.828</v>
      </c>
      <c r="M317" s="56">
        <v>136.08000000000001</v>
      </c>
      <c r="N317" s="59" cm="1">
        <f t="array" ref="N317">IF(I317&gt;_xlfn.XLOOKUP(D317,D318:D$1000,I318:I$1000,0,0,1),(_xlfn.XLOOKUP(D317,D318:D$1000,N318:N$1000,0,0,1)*MAX(1,L317/_xlfn.XLOOKUP(D317,D318:D$1000,L318:L$1000,L317,0,1))*_xlfn.XLOOKUP(D317,D318:D$1000,I318:I$1000,0,0,1)-G317*H317)/I317,_xlfn.XLOOKUP(D317,D318:D$1000,N318:N$1000,,0,1)*MAX(1,L317/_xlfn.XLOOKUP(D317,D318:D$1000,L318:L$1000,,0,1)))</f>
        <v>15707.768766260764</v>
      </c>
      <c r="O317" s="59" cm="1">
        <f t="array" ref="O317">IFERROR(IF(I317&lt;_xlfn.XLOOKUP(D317,D318:D$1000,I318:I$1000,,0,1),G317*H317-_xlfn.XLOOKUP(D317,D318:D$1000,N318:N$1000,,0,1)*-E317*MAX(1,M317/IFERROR(_xlfn.XLOOKUP(D317,D318:D$1000,L318:L$1000,,0,1),M317)),0),0)</f>
        <v>0</v>
      </c>
      <c r="P317" s="56" t="str" cm="1">
        <f t="array" ref="P317">IF(O317&lt;0,1,IF(E317&lt;0, _xlfn.LET(_xlpm.v_cant, ABS(E317), _xlpm.v_fecha, B317, _xlpm.v_ticker, D317, _xlpm.rango_f, B318:B$1000, _xlpm.rango_t, E318:E$1000, _xlpm.filtro, D318:D$1000=_xlpm.v_ticker, _xlpm.c_fechas, _xlfn._xlws.FILTER(_xlpm.rango_f, _xlpm.filtro*(_xlpm.rango_t&gt;0), _xlpm.v_fecha), _xlpm.c_cants, _xlfn._xlws.FILTER(_xlpm.rango_t, _xlpm.filtro*(_xlpm.rango_t&gt;0), 0), _xlpm.v_acums_pasadas, ABS(SUMIFS(E318:E$1000, D318:D$1000, _xlpm.v_ticker, E318:E$1000,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8" spans="1:16" x14ac:dyDescent="0.45">
      <c r="A318" s="3" t="s">
        <v>21</v>
      </c>
      <c r="B318" s="4">
        <f t="shared" si="4"/>
        <v>45583</v>
      </c>
      <c r="C318" s="3" t="s">
        <v>90</v>
      </c>
      <c r="D318" s="3" t="s">
        <v>125</v>
      </c>
      <c r="E318" s="3">
        <v>1</v>
      </c>
      <c r="F318" s="3">
        <v>16.247599999999998</v>
      </c>
      <c r="G318" s="3">
        <v>-16.25</v>
      </c>
      <c r="H318" s="5">
        <v>19.8325</v>
      </c>
      <c r="I318" s="8">
        <f>SUMIF(D318:D$1000,D318,E318:E$1000)</f>
        <v>4.5764426599999997</v>
      </c>
      <c r="J318" s="9" cm="1">
        <f t="array" ref="J318">IF(I318&gt;IFERROR(_xlfn.XLOOKUP(D318,D319:D$1000,I319:I$1000,,0,1),0),(IFERROR(_xlfn.XLOOKUP(D318,D319:D$1000,J319:J$1000,,0,1),0)*IFERROR(_xlfn.XLOOKUP(D318,D319:D$1000,I319:I$1000,,0,1),0)-G318*H318)/I318,_xlfn.XLOOKUP(D318,D319:D$1000,J319:J$1000,,0,1))</f>
        <v>229.57540519037119</v>
      </c>
      <c r="K318" s="10" cm="1">
        <f t="array" ref="K318">IFERROR(IF(I318&lt;_xlfn.XLOOKUP(D318,D319:D$1000,I319:I$1000,,0,1),G318*H318-_xlfn.XLOOKUP(D318,D319:D$1000,J319:J$1000,,0,1)*-E318,0),0)</f>
        <v>0</v>
      </c>
      <c r="L318" s="56">
        <v>136.828</v>
      </c>
      <c r="M318" s="56">
        <v>136.08000000000001</v>
      </c>
      <c r="N318" s="59" cm="1">
        <f t="array" ref="N318">IF(I318&gt;_xlfn.XLOOKUP(D318,D319:D$1000,I319:I$1000,0,0,1),(_xlfn.XLOOKUP(D318,D319:D$1000,N319:N$1000,0,0,1)*MAX(1,L318/_xlfn.XLOOKUP(D318,D319:D$1000,L319:L$1000,L318,0,1))*_xlfn.XLOOKUP(D318,D319:D$1000,I319:I$1000,0,0,1)-G318*H318)/I318,_xlfn.XLOOKUP(D318,D319:D$1000,N319:N$1000,,0,1)*MAX(1,L318/_xlfn.XLOOKUP(D318,D319:D$1000,L319:L$1000,,0,1)))</f>
        <v>232.35689280473096</v>
      </c>
      <c r="O318" s="59" cm="1">
        <f t="array" ref="O318">IFERROR(IF(I318&lt;_xlfn.XLOOKUP(D318,D319:D$1000,I319:I$1000,,0,1),G318*H318-_xlfn.XLOOKUP(D318,D319:D$1000,N319:N$1000,,0,1)*-E318*MAX(1,M318/IFERROR(_xlfn.XLOOKUP(D318,D319:D$1000,L319:L$1000,,0,1),M318)),0),0)</f>
        <v>0</v>
      </c>
      <c r="P318" s="56" t="str" cm="1">
        <f t="array" ref="P318">IF(O318&lt;0,1,IF(E318&lt;0, _xlfn.LET(_xlpm.v_cant, ABS(E318), _xlpm.v_fecha, B318, _xlpm.v_ticker, D318, _xlpm.rango_f, B319:B$1000, _xlpm.rango_t, E319:E$1000, _xlpm.filtro, D319:D$1000=_xlpm.v_ticker, _xlpm.c_fechas, _xlfn._xlws.FILTER(_xlpm.rango_f, _xlpm.filtro*(_xlpm.rango_t&gt;0), _xlpm.v_fecha), _xlpm.c_cants, _xlfn._xlws.FILTER(_xlpm.rango_t, _xlpm.filtro*(_xlpm.rango_t&gt;0), 0), _xlpm.v_acums_pasadas, ABS(SUMIFS(E319:E$1000, D319:D$1000, _xlpm.v_ticker, E319:E$1000,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19" spans="1:16" x14ac:dyDescent="0.45">
      <c r="A319" s="3" t="s">
        <v>21</v>
      </c>
      <c r="B319" s="4">
        <f t="shared" si="4"/>
        <v>45583</v>
      </c>
      <c r="C319" s="3" t="s">
        <v>90</v>
      </c>
      <c r="D319" s="3" t="s">
        <v>125</v>
      </c>
      <c r="E319" s="3">
        <v>0.54176616</v>
      </c>
      <c r="F319" s="3">
        <v>16.247599999999998</v>
      </c>
      <c r="G319" s="3">
        <v>-8.8000000000000007</v>
      </c>
      <c r="H319" s="5">
        <v>19.8325</v>
      </c>
      <c r="I319" s="8">
        <f>SUMIF(D319:D$1000,D319,E319:E$1000)</f>
        <v>3.5764426600000001</v>
      </c>
      <c r="J319" s="9" cm="1">
        <f t="array" ref="J319">IF(I319&gt;IFERROR(_xlfn.XLOOKUP(D319,D320:D$1000,I320:I$1000,,0,1),0),(IFERROR(_xlfn.XLOOKUP(D319,D320:D$1000,J320:J$1000,,0,1),0)*IFERROR(_xlfn.XLOOKUP(D319,D320:D$1000,I320:I$1000,,0,1),0)-G319*H319)/I319,_xlfn.XLOOKUP(D319,D320:D$1000,J320:J$1000,,0,1))</f>
        <v>203.65503441344143</v>
      </c>
      <c r="K319" s="10" cm="1">
        <f t="array" ref="K319">IFERROR(IF(I319&lt;_xlfn.XLOOKUP(D319,D320:D$1000,I320:I$1000,,0,1),G319*H319-_xlfn.XLOOKUP(D319,D320:D$1000,J320:J$1000,,0,1)*-E319,0),0)</f>
        <v>0</v>
      </c>
      <c r="L319" s="56">
        <v>136.828</v>
      </c>
      <c r="M319" s="56">
        <v>136.08000000000001</v>
      </c>
      <c r="N319" s="59" cm="1">
        <f t="array" ref="N319">IF(I319&gt;_xlfn.XLOOKUP(D319,D320:D$1000,I320:I$1000,0,0,1),(_xlfn.XLOOKUP(D319,D320:D$1000,N320:N$1000,0,0,1)*MAX(1,L319/_xlfn.XLOOKUP(D319,D320:D$1000,L320:L$1000,L319,0,1))*_xlfn.XLOOKUP(D319,D320:D$1000,I320:I$1000,0,0,1)-G319*H319)/I319,_xlfn.XLOOKUP(D319,D320:D$1000,N320:N$1000,,0,1)*MAX(1,L319/_xlfn.XLOOKUP(D319,D320:D$1000,L320:L$1000,,0,1)))</f>
        <v>207.21424667734439</v>
      </c>
      <c r="O319" s="59" cm="1">
        <f t="array" ref="O319">IFERROR(IF(I319&lt;_xlfn.XLOOKUP(D319,D320:D$1000,I320:I$1000,,0,1),G319*H319-_xlfn.XLOOKUP(D319,D320:D$1000,N320:N$1000,,0,1)*-E319*MAX(1,M319/IFERROR(_xlfn.XLOOKUP(D319,D320:D$1000,L320:L$1000,,0,1),M319)),0),0)</f>
        <v>0</v>
      </c>
      <c r="P319" s="56" t="str" cm="1">
        <f t="array" ref="P319">IF(O319&lt;0,1,IF(E319&lt;0, _xlfn.LET(_xlpm.v_cant, ABS(E319), _xlpm.v_fecha, B319, _xlpm.v_ticker, D319, _xlpm.rango_f, B320:B$1000, _xlpm.rango_t, E320:E$1000, _xlpm.filtro, D320:D$1000=_xlpm.v_ticker, _xlpm.c_fechas, _xlfn._xlws.FILTER(_xlpm.rango_f, _xlpm.filtro*(_xlpm.rango_t&gt;0), _xlpm.v_fecha), _xlpm.c_cants, _xlfn._xlws.FILTER(_xlpm.rango_t, _xlpm.filtro*(_xlpm.rango_t&gt;0), 0), _xlpm.v_acums_pasadas, ABS(SUMIFS(E320:E$1000, D320:D$1000, _xlpm.v_ticker, E320:E$1000,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0" spans="1:16" x14ac:dyDescent="0.45">
      <c r="A320" s="3" t="s">
        <v>21</v>
      </c>
      <c r="B320" s="4">
        <f t="shared" si="4"/>
        <v>45583</v>
      </c>
      <c r="C320" s="3" t="s">
        <v>90</v>
      </c>
      <c r="D320" s="3" t="s">
        <v>127</v>
      </c>
      <c r="E320" s="3">
        <v>0.27944202000000001</v>
      </c>
      <c r="F320" s="3">
        <v>215.1788</v>
      </c>
      <c r="G320" s="3">
        <v>-60.13</v>
      </c>
      <c r="H320" s="5">
        <v>19.8325</v>
      </c>
      <c r="I320" s="8">
        <f>SUMIF(D320:D$1000,D320,E320:E$1000)</f>
        <v>0.27944202000000001</v>
      </c>
      <c r="J320" s="9" cm="1">
        <f t="array" ref="J320">IF(I320&gt;IFERROR(_xlfn.XLOOKUP(D320,D321:D$1000,I321:I$1000,,0,1),0),(IFERROR(_xlfn.XLOOKUP(D320,D321:D$1000,J321:J$1000,,0,1),0)*IFERROR(_xlfn.XLOOKUP(D320,D321:D$1000,I321:I$1000,,0,1),0)-G320*H320)/I320,_xlfn.XLOOKUP(D320,D321:D$1000,J321:J$1000,,0,1))</f>
        <v>4267.5336551031232</v>
      </c>
      <c r="K320" s="10" cm="1">
        <f t="array" ref="K320">IFERROR(IF(I320&lt;_xlfn.XLOOKUP(D320,D321:D$1000,I321:I$1000,,0,1),G320*H320-_xlfn.XLOOKUP(D320,D321:D$1000,J321:J$1000,,0,1)*-E320,0),0)</f>
        <v>0</v>
      </c>
      <c r="L320" s="56">
        <v>136.828</v>
      </c>
      <c r="M320" s="56">
        <v>136.08000000000001</v>
      </c>
      <c r="N320" s="59" cm="1">
        <f t="array" ref="N320">IF(I320&gt;_xlfn.XLOOKUP(D320,D321:D$1000,I321:I$1000,0,0,1),(_xlfn.XLOOKUP(D320,D321:D$1000,N321:N$1000,0,0,1)*MAX(1,L320/_xlfn.XLOOKUP(D320,D321:D$1000,L321:L$1000,L320,0,1))*_xlfn.XLOOKUP(D320,D321:D$1000,I321:I$1000,0,0,1)-G320*H320)/I320,_xlfn.XLOOKUP(D320,D321:D$1000,N321:N$1000,,0,1)*MAX(1,L320/_xlfn.XLOOKUP(D320,D321:D$1000,L321:L$1000,,0,1)))</f>
        <v>4267.5336551031232</v>
      </c>
      <c r="O320" s="59" cm="1">
        <f t="array" ref="O320">IFERROR(IF(I320&lt;_xlfn.XLOOKUP(D320,D321:D$1000,I321:I$1000,,0,1),G320*H320-_xlfn.XLOOKUP(D320,D321:D$1000,N321:N$1000,,0,1)*-E320*MAX(1,M320/IFERROR(_xlfn.XLOOKUP(D320,D321:D$1000,L321:L$1000,,0,1),M320)),0),0)</f>
        <v>0</v>
      </c>
      <c r="P320" s="56" t="str" cm="1">
        <f t="array" ref="P320">IF(O320&lt;0,1,IF(E320&lt;0, _xlfn.LET(_xlpm.v_cant, ABS(E320), _xlpm.v_fecha, B320, _xlpm.v_ticker, D320, _xlpm.rango_f, B321:B$1000, _xlpm.rango_t, E321:E$1000, _xlpm.filtro, D321:D$1000=_xlpm.v_ticker, _xlpm.c_fechas, _xlfn._xlws.FILTER(_xlpm.rango_f, _xlpm.filtro*(_xlpm.rango_t&gt;0), _xlpm.v_fecha), _xlpm.c_cants, _xlfn._xlws.FILTER(_xlpm.rango_t, _xlpm.filtro*(_xlpm.rango_t&gt;0), 0), _xlpm.v_acums_pasadas, ABS(SUMIFS(E321:E$1000, D321:D$1000, _xlpm.v_ticker, E321:E$1000,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1" spans="1:16" x14ac:dyDescent="0.45">
      <c r="A321" s="3" t="s">
        <v>21</v>
      </c>
      <c r="B321" s="4">
        <f t="shared" si="4"/>
        <v>45583</v>
      </c>
      <c r="C321" s="3" t="s">
        <v>90</v>
      </c>
      <c r="D321" s="3" t="s">
        <v>128</v>
      </c>
      <c r="E321" s="3">
        <v>0.22673069000000001</v>
      </c>
      <c r="F321" s="3">
        <v>110.52760000000001</v>
      </c>
      <c r="G321" s="3">
        <v>-25.06</v>
      </c>
      <c r="H321" s="5">
        <v>19.8325</v>
      </c>
      <c r="I321" s="8">
        <f>SUMIF(D321:D$1000,D321,E321:E$1000)</f>
        <v>0.22673069000000001</v>
      </c>
      <c r="J321" s="9" cm="1">
        <f t="array" ref="J321">IF(I321&gt;IFERROR(_xlfn.XLOOKUP(D321,D322:D$1000,I322:I$1000,,0,1),0),(IFERROR(_xlfn.XLOOKUP(D321,D322:D$1000,J322:J$1000,,0,1),0)*IFERROR(_xlfn.XLOOKUP(D321,D322:D$1000,I322:I$1000,,0,1),0)-G321*H321)/I321,_xlfn.XLOOKUP(D321,D322:D$1000,J322:J$1000,,0,1))</f>
        <v>2192.0387134181083</v>
      </c>
      <c r="K321" s="10" cm="1">
        <f t="array" ref="K321">IFERROR(IF(I321&lt;_xlfn.XLOOKUP(D321,D322:D$1000,I322:I$1000,,0,1),G321*H321-_xlfn.XLOOKUP(D321,D322:D$1000,J322:J$1000,,0,1)*-E321,0),0)</f>
        <v>0</v>
      </c>
      <c r="L321" s="56">
        <v>136.828</v>
      </c>
      <c r="M321" s="56">
        <v>136.08000000000001</v>
      </c>
      <c r="N321" s="59" cm="1">
        <f t="array" ref="N321">IF(I321&gt;_xlfn.XLOOKUP(D321,D322:D$1000,I322:I$1000,0,0,1),(_xlfn.XLOOKUP(D321,D322:D$1000,N322:N$1000,0,0,1)*MAX(1,L321/_xlfn.XLOOKUP(D321,D322:D$1000,L322:L$1000,L321,0,1))*_xlfn.XLOOKUP(D321,D322:D$1000,I322:I$1000,0,0,1)-G321*H321)/I321,_xlfn.XLOOKUP(D321,D322:D$1000,N322:N$1000,,0,1)*MAX(1,L321/_xlfn.XLOOKUP(D321,D322:D$1000,L322:L$1000,,0,1)))</f>
        <v>2192.0387134181083</v>
      </c>
      <c r="O321" s="59" cm="1">
        <f t="array" ref="O321">IFERROR(IF(I321&lt;_xlfn.XLOOKUP(D321,D322:D$1000,I322:I$1000,,0,1),G321*H321-_xlfn.XLOOKUP(D321,D322:D$1000,N322:N$1000,,0,1)*-E321*MAX(1,M321/IFERROR(_xlfn.XLOOKUP(D321,D322:D$1000,L322:L$1000,,0,1),M321)),0),0)</f>
        <v>0</v>
      </c>
      <c r="P321" s="56" t="str" cm="1">
        <f t="array" ref="P321">IF(O321&lt;0,1,IF(E321&lt;0, _xlfn.LET(_xlpm.v_cant, ABS(E321), _xlpm.v_fecha, B321, _xlpm.v_ticker, D321, _xlpm.rango_f, B322:B$1000, _xlpm.rango_t, E322:E$1000, _xlpm.filtro, D322:D$1000=_xlpm.v_ticker, _xlpm.c_fechas, _xlfn._xlws.FILTER(_xlpm.rango_f, _xlpm.filtro*(_xlpm.rango_t&gt;0), _xlpm.v_fecha), _xlpm.c_cants, _xlfn._xlws.FILTER(_xlpm.rango_t, _xlpm.filtro*(_xlpm.rango_t&gt;0), 0), _xlpm.v_acums_pasadas, ABS(SUMIFS(E322:E$1000, D322:D$1000, _xlpm.v_ticker, E322:E$1000,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2" spans="1:16" x14ac:dyDescent="0.45">
      <c r="A322" s="3" t="s">
        <v>21</v>
      </c>
      <c r="B322" s="4">
        <f t="shared" ref="B322:B346" si="5">DATEVALUE(A322)</f>
        <v>45583</v>
      </c>
      <c r="C322" s="3" t="s">
        <v>90</v>
      </c>
      <c r="D322" s="3" t="s">
        <v>103</v>
      </c>
      <c r="E322" s="3">
        <v>1</v>
      </c>
      <c r="F322" s="3">
        <v>31.268799999999999</v>
      </c>
      <c r="G322" s="3">
        <v>-31.27</v>
      </c>
      <c r="H322" s="5">
        <v>19.8325</v>
      </c>
      <c r="I322" s="8">
        <f>SUMIF(D322:D$1000,D322,E322:E$1000)</f>
        <v>1.00099779</v>
      </c>
      <c r="J322" s="9" cm="1">
        <f t="array" ref="J322">IF(I322&gt;IFERROR(_xlfn.XLOOKUP(D322,D323:D$1000,I323:I$1000,,0,1),0),(IFERROR(_xlfn.XLOOKUP(D322,D323:D$1000,J323:J$1000,,0,1),0)*IFERROR(_xlfn.XLOOKUP(D322,D323:D$1000,I323:I$1000,,0,1),0)-G322*H322)/I322,_xlfn.XLOOKUP(D322,D323:D$1000,J323:J$1000,,0,1))</f>
        <v>620.1384820240213</v>
      </c>
      <c r="K322" s="10" cm="1">
        <f t="array" ref="K322">IFERROR(IF(I322&lt;_xlfn.XLOOKUP(D322,D323:D$1000,I323:I$1000,,0,1),G322*H322-_xlfn.XLOOKUP(D322,D323:D$1000,J323:J$1000,,0,1)*-E322,0),0)</f>
        <v>0</v>
      </c>
      <c r="L322" s="56">
        <v>136.828</v>
      </c>
      <c r="M322" s="56">
        <v>136.08000000000001</v>
      </c>
      <c r="N322" s="59" cm="1">
        <f t="array" ref="N322">IF(I322&gt;_xlfn.XLOOKUP(D322,D323:D$1000,I323:I$1000,0,0,1),(_xlfn.XLOOKUP(D322,D323:D$1000,N323:N$1000,0,0,1)*MAX(1,L322/_xlfn.XLOOKUP(D322,D323:D$1000,L323:L$1000,L322,0,1))*_xlfn.XLOOKUP(D322,D323:D$1000,I323:I$1000,0,0,1)-G322*H322)/I322,_xlfn.XLOOKUP(D322,D323:D$1000,N323:N$1000,,0,1)*MAX(1,L322/_xlfn.XLOOKUP(D322,D323:D$1000,L323:L$1000,,0,1)))</f>
        <v>620.1384820240213</v>
      </c>
      <c r="O322" s="59" cm="1">
        <f t="array" ref="O322">IFERROR(IF(I322&lt;_xlfn.XLOOKUP(D322,D323:D$1000,I323:I$1000,,0,1),G322*H322-_xlfn.XLOOKUP(D322,D323:D$1000,N323:N$1000,,0,1)*-E322*MAX(1,M322/IFERROR(_xlfn.XLOOKUP(D322,D323:D$1000,L323:L$1000,,0,1),M322)),0),0)</f>
        <v>0</v>
      </c>
      <c r="P322" s="56" t="str" cm="1">
        <f t="array" ref="P322">IF(O322&lt;0,1,IF(E322&lt;0, _xlfn.LET(_xlpm.v_cant, ABS(E322), _xlpm.v_fecha, B322, _xlpm.v_ticker, D322, _xlpm.rango_f, B323:B$1000, _xlpm.rango_t, E323:E$1000, _xlpm.filtro, D323:D$1000=_xlpm.v_ticker, _xlpm.c_fechas, _xlfn._xlws.FILTER(_xlpm.rango_f, _xlpm.filtro*(_xlpm.rango_t&gt;0), _xlpm.v_fecha), _xlpm.c_cants, _xlfn._xlws.FILTER(_xlpm.rango_t, _xlpm.filtro*(_xlpm.rango_t&gt;0), 0), _xlpm.v_acums_pasadas, ABS(SUMIFS(E323:E$1000, D323:D$1000, _xlpm.v_ticker, E323:E$1000,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3" spans="1:16" x14ac:dyDescent="0.45">
      <c r="A323" s="3" t="s">
        <v>21</v>
      </c>
      <c r="B323" s="4">
        <f t="shared" si="5"/>
        <v>45583</v>
      </c>
      <c r="C323" s="3" t="s">
        <v>90</v>
      </c>
      <c r="D323" s="3" t="s">
        <v>103</v>
      </c>
      <c r="E323" s="3">
        <v>9.9778999999999992E-4</v>
      </c>
      <c r="F323" s="3">
        <v>31.268799999999999</v>
      </c>
      <c r="G323" s="3">
        <v>-0.03</v>
      </c>
      <c r="H323" s="5">
        <v>19.8325</v>
      </c>
      <c r="I323" s="8">
        <f>SUMIF(D323:D$1000,D323,E323:E$1000)</f>
        <v>9.9778999999999992E-4</v>
      </c>
      <c r="J323" s="9" cm="1">
        <f t="array" ref="J323">IF(I323&gt;IFERROR(_xlfn.XLOOKUP(D323,D324:D$1000,I324:I$1000,,0,1),0),(IFERROR(_xlfn.XLOOKUP(D323,D324:D$1000,J324:J$1000,,0,1),0)*IFERROR(_xlfn.XLOOKUP(D323,D324:D$1000,I324:I$1000,,0,1),0)-G323*H323)/I323,_xlfn.XLOOKUP(D323,D324:D$1000,J324:J$1000,,0,1))</f>
        <v>596.29280710369915</v>
      </c>
      <c r="K323" s="10" cm="1">
        <f t="array" ref="K323">IFERROR(IF(I323&lt;_xlfn.XLOOKUP(D323,D324:D$1000,I324:I$1000,,0,1),G323*H323-_xlfn.XLOOKUP(D323,D324:D$1000,J324:J$1000,,0,1)*-E323,0),0)</f>
        <v>0</v>
      </c>
      <c r="L323" s="56">
        <v>136.828</v>
      </c>
      <c r="M323" s="56">
        <v>136.08000000000001</v>
      </c>
      <c r="N323" s="59" cm="1">
        <f t="array" ref="N323">IF(I323&gt;_xlfn.XLOOKUP(D323,D324:D$1000,I324:I$1000,0,0,1),(_xlfn.XLOOKUP(D323,D324:D$1000,N324:N$1000,0,0,1)*MAX(1,L323/_xlfn.XLOOKUP(D323,D324:D$1000,L324:L$1000,L323,0,1))*_xlfn.XLOOKUP(D323,D324:D$1000,I324:I$1000,0,0,1)-G323*H323)/I323,_xlfn.XLOOKUP(D323,D324:D$1000,N324:N$1000,,0,1)*MAX(1,L323/_xlfn.XLOOKUP(D323,D324:D$1000,L324:L$1000,,0,1)))</f>
        <v>596.29280710369915</v>
      </c>
      <c r="O323" s="59" cm="1">
        <f t="array" ref="O323">IFERROR(IF(I323&lt;_xlfn.XLOOKUP(D323,D324:D$1000,I324:I$1000,,0,1),G323*H323-_xlfn.XLOOKUP(D323,D324:D$1000,N324:N$1000,,0,1)*-E323*MAX(1,M323/IFERROR(_xlfn.XLOOKUP(D323,D324:D$1000,L324:L$1000,,0,1),M323)),0),0)</f>
        <v>0</v>
      </c>
      <c r="P323" s="56" t="str" cm="1">
        <f t="array" ref="P323">IF(O323&lt;0,1,IF(E323&lt;0, _xlfn.LET(_xlpm.v_cant, ABS(E323), _xlpm.v_fecha, B323, _xlpm.v_ticker, D323, _xlpm.rango_f, B324:B$1000, _xlpm.rango_t, E324:E$1000, _xlpm.filtro, D324:D$1000=_xlpm.v_ticker, _xlpm.c_fechas, _xlfn._xlws.FILTER(_xlpm.rango_f, _xlpm.filtro*(_xlpm.rango_t&gt;0), _xlpm.v_fecha), _xlpm.c_cants, _xlfn._xlws.FILTER(_xlpm.rango_t, _xlpm.filtro*(_xlpm.rango_t&gt;0), 0), _xlpm.v_acums_pasadas, ABS(SUMIFS(E324:E$1000, D324:D$1000, _xlpm.v_ticker, E324:E$1000,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4" spans="1:16" x14ac:dyDescent="0.45">
      <c r="A324" s="3" t="s">
        <v>21</v>
      </c>
      <c r="B324" s="4">
        <f t="shared" si="5"/>
        <v>45583</v>
      </c>
      <c r="C324" s="3" t="s">
        <v>90</v>
      </c>
      <c r="D324" s="3" t="s">
        <v>119</v>
      </c>
      <c r="E324" s="3">
        <f>0.38868095*2</f>
        <v>0.77736190000000005</v>
      </c>
      <c r="F324" s="3">
        <v>90.279700000000005</v>
      </c>
      <c r="G324" s="3">
        <v>-35.090000000000003</v>
      </c>
      <c r="H324" s="5">
        <v>19.8325</v>
      </c>
      <c r="I324" s="8">
        <f>SUMIF(D324:D$1000,D324,E324:E$1000)</f>
        <v>0.77736190000000005</v>
      </c>
      <c r="J324" s="9" cm="1">
        <f t="array" ref="J324">IF(I324&gt;IFERROR(_xlfn.XLOOKUP(D324,D325:D$1000,I325:I$1000,,0,1),0),(IFERROR(_xlfn.XLOOKUP(D324,D325:D$1000,J325:J$1000,,0,1),0)*IFERROR(_xlfn.XLOOKUP(D324,D325:D$1000,I325:I$1000,,0,1),0)-G324*H324)/I324,_xlfn.XLOOKUP(D324,D325:D$1000,J325:J$1000,,0,1))</f>
        <v>895.23608630677688</v>
      </c>
      <c r="K324" s="10" cm="1">
        <f t="array" ref="K324">IFERROR(IF(I324&lt;_xlfn.XLOOKUP(D324,D325:D$1000,I325:I$1000,,0,1),G324*H324-_xlfn.XLOOKUP(D324,D325:D$1000,J325:J$1000,,0,1)*-E324,0),0)</f>
        <v>0</v>
      </c>
      <c r="L324" s="56">
        <v>136.828</v>
      </c>
      <c r="M324" s="56">
        <v>136.08000000000001</v>
      </c>
      <c r="N324" s="59" cm="1">
        <f t="array" ref="N324">IF(I324&gt;_xlfn.XLOOKUP(D324,D325:D$1000,I325:I$1000,0,0,1),(_xlfn.XLOOKUP(D324,D325:D$1000,N325:N$1000,0,0,1)*MAX(1,L324/_xlfn.XLOOKUP(D324,D325:D$1000,L325:L$1000,L324,0,1))*_xlfn.XLOOKUP(D324,D325:D$1000,I325:I$1000,0,0,1)-G324*H324)/I324,_xlfn.XLOOKUP(D324,D325:D$1000,N325:N$1000,,0,1)*MAX(1,L324/_xlfn.XLOOKUP(D324,D325:D$1000,L325:L$1000,,0,1)))</f>
        <v>895.23608630677688</v>
      </c>
      <c r="O324" s="59" cm="1">
        <f t="array" ref="O324">IFERROR(IF(I324&lt;_xlfn.XLOOKUP(D324,D325:D$1000,I325:I$1000,,0,1),G324*H324-_xlfn.XLOOKUP(D324,D325:D$1000,N325:N$1000,,0,1)*-E324*MAX(1,M324/IFERROR(_xlfn.XLOOKUP(D324,D325:D$1000,L325:L$1000,,0,1),M324)),0),0)</f>
        <v>0</v>
      </c>
      <c r="P324" s="56" t="str" cm="1">
        <f t="array" ref="P324">IF(O324&lt;0,1,IF(E324&lt;0, _xlfn.LET(_xlpm.v_cant, ABS(E324), _xlpm.v_fecha, B324, _xlpm.v_ticker, D324, _xlpm.rango_f, B325:B$1000, _xlpm.rango_t, E325:E$1000, _xlpm.filtro, D325:D$1000=_xlpm.v_ticker, _xlpm.c_fechas, _xlfn._xlws.FILTER(_xlpm.rango_f, _xlpm.filtro*(_xlpm.rango_t&gt;0), _xlpm.v_fecha), _xlpm.c_cants, _xlfn._xlws.FILTER(_xlpm.rango_t, _xlpm.filtro*(_xlpm.rango_t&gt;0), 0), _xlpm.v_acums_pasadas, ABS(SUMIFS(E325:E$1000, D325:D$1000, _xlpm.v_ticker, E325:E$1000,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5" spans="1:16" x14ac:dyDescent="0.45">
      <c r="A325" s="3" t="s">
        <v>21</v>
      </c>
      <c r="B325" s="4">
        <f t="shared" si="5"/>
        <v>45583</v>
      </c>
      <c r="C325" s="3" t="s">
        <v>90</v>
      </c>
      <c r="D325" s="3" t="s">
        <v>129</v>
      </c>
      <c r="E325" s="3">
        <v>2</v>
      </c>
      <c r="F325" s="3">
        <v>9.6188000000000002</v>
      </c>
      <c r="G325" s="3">
        <v>-19.239999999999998</v>
      </c>
      <c r="H325" s="5">
        <v>19.8325</v>
      </c>
      <c r="I325" s="8">
        <f>SUMIF(D325:D$1000,D325,E325:E$1000)</f>
        <v>2.6021957000000002</v>
      </c>
      <c r="J325" s="9" cm="1">
        <f t="array" ref="J325">IF(I325&gt;IFERROR(_xlfn.XLOOKUP(D325,D326:D$1000,I326:I$1000,,0,1),0),(IFERROR(_xlfn.XLOOKUP(D325,D326:D$1000,J326:J$1000,,0,1),0)*IFERROR(_xlfn.XLOOKUP(D325,D326:D$1000,I326:I$1000,,0,1),0)-G325*H325)/I325,_xlfn.XLOOKUP(D325,D326:D$1000,J326:J$1000,,0,1))</f>
        <v>190.76485100640198</v>
      </c>
      <c r="K325" s="10" cm="1">
        <f t="array" ref="K325">IFERROR(IF(I325&lt;_xlfn.XLOOKUP(D325,D326:D$1000,I326:I$1000,,0,1),G325*H325-_xlfn.XLOOKUP(D325,D326:D$1000,J326:J$1000,,0,1)*-E325,0),0)</f>
        <v>0</v>
      </c>
      <c r="L325" s="56">
        <v>136.828</v>
      </c>
      <c r="M325" s="56">
        <v>136.08000000000001</v>
      </c>
      <c r="N325" s="59" cm="1">
        <f t="array" ref="N325">IF(I325&gt;_xlfn.XLOOKUP(D325,D326:D$1000,I326:I$1000,0,0,1),(_xlfn.XLOOKUP(D325,D326:D$1000,N326:N$1000,0,0,1)*MAX(1,L325/_xlfn.XLOOKUP(D325,D326:D$1000,L326:L$1000,L325,0,1))*_xlfn.XLOOKUP(D325,D326:D$1000,I326:I$1000,0,0,1)-G325*H325)/I325,_xlfn.XLOOKUP(D325,D326:D$1000,N326:N$1000,,0,1)*MAX(1,L325/_xlfn.XLOOKUP(D325,D326:D$1000,L326:L$1000,,0,1)))</f>
        <v>190.76485100640198</v>
      </c>
      <c r="O325" s="59" cm="1">
        <f t="array" ref="O325">IFERROR(IF(I325&lt;_xlfn.XLOOKUP(D325,D326:D$1000,I326:I$1000,,0,1),G325*H325-_xlfn.XLOOKUP(D325,D326:D$1000,N326:N$1000,,0,1)*-E325*MAX(1,M325/IFERROR(_xlfn.XLOOKUP(D325,D326:D$1000,L326:L$1000,,0,1),M325)),0),0)</f>
        <v>0</v>
      </c>
      <c r="P325" s="56" t="str" cm="1">
        <f t="array" ref="P325">IF(O325&lt;0,1,IF(E325&lt;0, _xlfn.LET(_xlpm.v_cant, ABS(E325), _xlpm.v_fecha, B325, _xlpm.v_ticker, D325, _xlpm.rango_f, B326:B$1000, _xlpm.rango_t, E326:E$1000, _xlpm.filtro, D326:D$1000=_xlpm.v_ticker, _xlpm.c_fechas, _xlfn._xlws.FILTER(_xlpm.rango_f, _xlpm.filtro*(_xlpm.rango_t&gt;0), _xlpm.v_fecha), _xlpm.c_cants, _xlfn._xlws.FILTER(_xlpm.rango_t, _xlpm.filtro*(_xlpm.rango_t&gt;0), 0), _xlpm.v_acums_pasadas, ABS(SUMIFS(E326:E$1000, D326:D$1000, _xlpm.v_ticker, E326:E$1000,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6" spans="1:16" x14ac:dyDescent="0.45">
      <c r="A326" s="3" t="s">
        <v>21</v>
      </c>
      <c r="B326" s="4">
        <f t="shared" si="5"/>
        <v>45583</v>
      </c>
      <c r="C326" s="3" t="s">
        <v>90</v>
      </c>
      <c r="D326" s="3" t="s">
        <v>129</v>
      </c>
      <c r="E326" s="3">
        <v>0.6021957</v>
      </c>
      <c r="F326" s="3">
        <v>9.6188000000000002</v>
      </c>
      <c r="G326" s="3">
        <v>-5.79</v>
      </c>
      <c r="H326" s="5">
        <v>19.8325</v>
      </c>
      <c r="I326" s="8">
        <f>SUMIF(D326:D$1000,D326,E326:E$1000)</f>
        <v>0.6021957</v>
      </c>
      <c r="J326" s="9" cm="1">
        <f t="array" ref="J326">IF(I326&gt;IFERROR(_xlfn.XLOOKUP(D326,D327:D$1000,I327:I$1000,,0,1),0),(IFERROR(_xlfn.XLOOKUP(D326,D327:D$1000,J327:J$1000,,0,1),0)*IFERROR(_xlfn.XLOOKUP(D326,D327:D$1000,I327:I$1000,,0,1),0)-G326*H326)/I326,_xlfn.XLOOKUP(D326,D327:D$1000,J327:J$1000,,0,1))</f>
        <v>190.68581027729024</v>
      </c>
      <c r="K326" s="10" cm="1">
        <f t="array" ref="K326">IFERROR(IF(I326&lt;_xlfn.XLOOKUP(D326,D327:D$1000,I327:I$1000,,0,1),G326*H326-_xlfn.XLOOKUP(D326,D327:D$1000,J327:J$1000,,0,1)*-E326,0),0)</f>
        <v>0</v>
      </c>
      <c r="L326" s="56">
        <v>136.828</v>
      </c>
      <c r="M326" s="56">
        <v>136.08000000000001</v>
      </c>
      <c r="N326" s="59" cm="1">
        <f t="array" ref="N326">IF(I326&gt;_xlfn.XLOOKUP(D326,D327:D$1000,I327:I$1000,0,0,1),(_xlfn.XLOOKUP(D326,D327:D$1000,N327:N$1000,0,0,1)*MAX(1,L326/_xlfn.XLOOKUP(D326,D327:D$1000,L327:L$1000,L326,0,1))*_xlfn.XLOOKUP(D326,D327:D$1000,I327:I$1000,0,0,1)-G326*H326)/I326,_xlfn.XLOOKUP(D326,D327:D$1000,N327:N$1000,,0,1)*MAX(1,L326/_xlfn.XLOOKUP(D326,D327:D$1000,L327:L$1000,,0,1)))</f>
        <v>190.68581027729024</v>
      </c>
      <c r="O326" s="59" cm="1">
        <f t="array" ref="O326">IFERROR(IF(I326&lt;_xlfn.XLOOKUP(D326,D327:D$1000,I327:I$1000,,0,1),G326*H326-_xlfn.XLOOKUP(D326,D327:D$1000,N327:N$1000,,0,1)*-E326*MAX(1,M326/IFERROR(_xlfn.XLOOKUP(D326,D327:D$1000,L327:L$1000,,0,1),M326)),0),0)</f>
        <v>0</v>
      </c>
      <c r="P326" s="56" t="str" cm="1">
        <f t="array" ref="P326">IF(O326&lt;0,1,IF(E326&lt;0, _xlfn.LET(_xlpm.v_cant, ABS(E326), _xlpm.v_fecha, B326, _xlpm.v_ticker, D326, _xlpm.rango_f, B327:B$1000, _xlpm.rango_t, E327:E$1000, _xlpm.filtro, D327:D$1000=_xlpm.v_ticker, _xlpm.c_fechas, _xlfn._xlws.FILTER(_xlpm.rango_f, _xlpm.filtro*(_xlpm.rango_t&gt;0), _xlpm.v_fecha), _xlpm.c_cants, _xlfn._xlws.FILTER(_xlpm.rango_t, _xlpm.filtro*(_xlpm.rango_t&gt;0), 0), _xlpm.v_acums_pasadas, ABS(SUMIFS(E327:E$1000, D327:D$1000, _xlpm.v_ticker, E327:E$1000,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7" spans="1:16" x14ac:dyDescent="0.45">
      <c r="A327" s="3" t="s">
        <v>21</v>
      </c>
      <c r="B327" s="4">
        <f t="shared" si="5"/>
        <v>45583</v>
      </c>
      <c r="C327" s="3" t="s">
        <v>90</v>
      </c>
      <c r="D327" s="3" t="s">
        <v>130</v>
      </c>
      <c r="E327" s="3">
        <v>0.53561495000000003</v>
      </c>
      <c r="F327" s="3">
        <v>65.438800000000001</v>
      </c>
      <c r="G327" s="3">
        <v>-35.049999999999997</v>
      </c>
      <c r="H327" s="5">
        <v>19.8325</v>
      </c>
      <c r="I327" s="8">
        <f>SUMIF(D327:D$1000,D327,E327:E$1000)</f>
        <v>0.53561495000000003</v>
      </c>
      <c r="J327" s="9" cm="1">
        <f t="array" ref="J327">IF(I327&gt;IFERROR(_xlfn.XLOOKUP(D327,D328:D$1000,I328:I$1000,,0,1),0),(IFERROR(_xlfn.XLOOKUP(D327,D328:D$1000,J328:J$1000,,0,1),0)*IFERROR(_xlfn.XLOOKUP(D327,D328:D$1000,I328:I$1000,,0,1),0)-G327*H327)/I327,_xlfn.XLOOKUP(D327,D328:D$1000,J328:J$1000,,0,1))</f>
        <v>1297.8150161790666</v>
      </c>
      <c r="K327" s="10" cm="1">
        <f t="array" ref="K327">IFERROR(IF(I327&lt;_xlfn.XLOOKUP(D327,D328:D$1000,I328:I$1000,,0,1),G327*H327-_xlfn.XLOOKUP(D327,D328:D$1000,J328:J$1000,,0,1)*-E327,0),0)</f>
        <v>0</v>
      </c>
      <c r="L327" s="56">
        <v>136.828</v>
      </c>
      <c r="M327" s="56">
        <v>136.08000000000001</v>
      </c>
      <c r="N327" s="59" cm="1">
        <f t="array" ref="N327">IF(I327&gt;_xlfn.XLOOKUP(D327,D328:D$1000,I328:I$1000,0,0,1),(_xlfn.XLOOKUP(D327,D328:D$1000,N328:N$1000,0,0,1)*MAX(1,L327/_xlfn.XLOOKUP(D327,D328:D$1000,L328:L$1000,L327,0,1))*_xlfn.XLOOKUP(D327,D328:D$1000,I328:I$1000,0,0,1)-G327*H327)/I327,_xlfn.XLOOKUP(D327,D328:D$1000,N328:N$1000,,0,1)*MAX(1,L327/_xlfn.XLOOKUP(D327,D328:D$1000,L328:L$1000,,0,1)))</f>
        <v>1297.8150161790666</v>
      </c>
      <c r="O327" s="59" cm="1">
        <f t="array" ref="O327">IFERROR(IF(I327&lt;_xlfn.XLOOKUP(D327,D328:D$1000,I328:I$1000,,0,1),G327*H327-_xlfn.XLOOKUP(D327,D328:D$1000,N328:N$1000,,0,1)*-E327*MAX(1,M327/IFERROR(_xlfn.XLOOKUP(D327,D328:D$1000,L328:L$1000,,0,1),M327)),0),0)</f>
        <v>0</v>
      </c>
      <c r="P327" s="56" t="str" cm="1">
        <f t="array" ref="P327">IF(O327&lt;0,1,IF(E327&lt;0, _xlfn.LET(_xlpm.v_cant, ABS(E327), _xlpm.v_fecha, B327, _xlpm.v_ticker, D327, _xlpm.rango_f, B328:B$1000, _xlpm.rango_t, E328:E$1000, _xlpm.filtro, D328:D$1000=_xlpm.v_ticker, _xlpm.c_fechas, _xlfn._xlws.FILTER(_xlpm.rango_f, _xlpm.filtro*(_xlpm.rango_t&gt;0), _xlpm.v_fecha), _xlpm.c_cants, _xlfn._xlws.FILTER(_xlpm.rango_t, _xlpm.filtro*(_xlpm.rango_t&gt;0), 0), _xlpm.v_acums_pasadas, ABS(SUMIFS(E328:E$1000, D328:D$1000, _xlpm.v_ticker, E328:E$1000,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8" spans="1:16" x14ac:dyDescent="0.45">
      <c r="A328" s="3" t="s">
        <v>21</v>
      </c>
      <c r="B328" s="4">
        <f t="shared" si="5"/>
        <v>45583</v>
      </c>
      <c r="C328" s="3" t="s">
        <v>90</v>
      </c>
      <c r="D328" s="3" t="s">
        <v>96</v>
      </c>
      <c r="E328" s="3">
        <v>2</v>
      </c>
      <c r="F328" s="3">
        <v>18.808800000000002</v>
      </c>
      <c r="G328" s="3">
        <v>-37.619999999999997</v>
      </c>
      <c r="H328" s="5">
        <v>19.8325</v>
      </c>
      <c r="I328" s="8">
        <f>SUMIF(D328:D$1000,D328,E328:E$1000)</f>
        <v>2.66471013</v>
      </c>
      <c r="J328" s="9" cm="1">
        <f t="array" ref="J328">IF(I328&gt;IFERROR(_xlfn.XLOOKUP(D328,D329:D$1000,I329:I$1000,,0,1),0),(IFERROR(_xlfn.XLOOKUP(D328,D329:D$1000,J329:J$1000,,0,1),0)*IFERROR(_xlfn.XLOOKUP(D328,D329:D$1000,I329:I$1000,,0,1),0)-G328*H328)/I328,_xlfn.XLOOKUP(D328,D329:D$1000,J329:J$1000,,0,1))</f>
        <v>373.02552679529157</v>
      </c>
      <c r="K328" s="10" cm="1">
        <f t="array" ref="K328">IFERROR(IF(I328&lt;_xlfn.XLOOKUP(D328,D329:D$1000,I329:I$1000,,0,1),G328*H328-_xlfn.XLOOKUP(D328,D329:D$1000,J329:J$1000,,0,1)*-E328,0),0)</f>
        <v>0</v>
      </c>
      <c r="L328" s="56">
        <v>136.828</v>
      </c>
      <c r="M328" s="56">
        <v>136.08000000000001</v>
      </c>
      <c r="N328" s="59" cm="1">
        <f t="array" ref="N328">IF(I328&gt;_xlfn.XLOOKUP(D328,D329:D$1000,I329:I$1000,0,0,1),(_xlfn.XLOOKUP(D328,D329:D$1000,N329:N$1000,0,0,1)*MAX(1,L328/_xlfn.XLOOKUP(D328,D329:D$1000,L329:L$1000,L328,0,1))*_xlfn.XLOOKUP(D328,D329:D$1000,I329:I$1000,0,0,1)-G328*H328)/I328,_xlfn.XLOOKUP(D328,D329:D$1000,N329:N$1000,,0,1)*MAX(1,L328/_xlfn.XLOOKUP(D328,D329:D$1000,L329:L$1000,,0,1)))</f>
        <v>373.02552679529157</v>
      </c>
      <c r="O328" s="59" cm="1">
        <f t="array" ref="O328">IFERROR(IF(I328&lt;_xlfn.XLOOKUP(D328,D329:D$1000,I329:I$1000,,0,1),G328*H328-_xlfn.XLOOKUP(D328,D329:D$1000,N329:N$1000,,0,1)*-E328*MAX(1,M328/IFERROR(_xlfn.XLOOKUP(D328,D329:D$1000,L329:L$1000,,0,1),M328)),0),0)</f>
        <v>0</v>
      </c>
      <c r="P328" s="56" t="str" cm="1">
        <f t="array" ref="P328">IF(O328&lt;0,1,IF(E328&lt;0, _xlfn.LET(_xlpm.v_cant, ABS(E328), _xlpm.v_fecha, B328, _xlpm.v_ticker, D328, _xlpm.rango_f, B329:B$1000, _xlpm.rango_t, E329:E$1000, _xlpm.filtro, D329:D$1000=_xlpm.v_ticker, _xlpm.c_fechas, _xlfn._xlws.FILTER(_xlpm.rango_f, _xlpm.filtro*(_xlpm.rango_t&gt;0), _xlpm.v_fecha), _xlpm.c_cants, _xlfn._xlws.FILTER(_xlpm.rango_t, _xlpm.filtro*(_xlpm.rango_t&gt;0), 0), _xlpm.v_acums_pasadas, ABS(SUMIFS(E329:E$1000, D329:D$1000, _xlpm.v_ticker, E329:E$1000,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29" spans="1:16" x14ac:dyDescent="0.45">
      <c r="A329" s="3" t="s">
        <v>21</v>
      </c>
      <c r="B329" s="4">
        <f t="shared" si="5"/>
        <v>45583</v>
      </c>
      <c r="C329" s="3" t="s">
        <v>90</v>
      </c>
      <c r="D329" s="3" t="s">
        <v>96</v>
      </c>
      <c r="E329" s="3">
        <v>0.66471013000000001</v>
      </c>
      <c r="F329" s="3">
        <v>18.808800000000002</v>
      </c>
      <c r="G329" s="3">
        <v>-12.5</v>
      </c>
      <c r="H329" s="5">
        <v>19.8325</v>
      </c>
      <c r="I329" s="8">
        <f>SUMIF(D329:D$1000,D329,E329:E$1000)</f>
        <v>0.66471013000000001</v>
      </c>
      <c r="J329" s="9" cm="1">
        <f t="array" ref="J329">IF(I329&gt;IFERROR(_xlfn.XLOOKUP(D329,D330:D$1000,I330:I$1000,,0,1),0),(IFERROR(_xlfn.XLOOKUP(D329,D330:D$1000,J330:J$1000,,0,1),0)*IFERROR(_xlfn.XLOOKUP(D329,D330:D$1000,I330:I$1000,,0,1),0)-G329*H329)/I329,_xlfn.XLOOKUP(D329,D330:D$1000,J330:J$1000,,0,1))</f>
        <v>372.95392203515837</v>
      </c>
      <c r="K329" s="10" cm="1">
        <f t="array" ref="K329">IFERROR(IF(I329&lt;_xlfn.XLOOKUP(D329,D330:D$1000,I330:I$1000,,0,1),G329*H329-_xlfn.XLOOKUP(D329,D330:D$1000,J330:J$1000,,0,1)*-E329,0),0)</f>
        <v>0</v>
      </c>
      <c r="L329" s="56">
        <v>136.828</v>
      </c>
      <c r="M329" s="56">
        <v>136.08000000000001</v>
      </c>
      <c r="N329" s="59" cm="1">
        <f t="array" ref="N329">IF(I329&gt;_xlfn.XLOOKUP(D329,D330:D$1000,I330:I$1000,0,0,1),(_xlfn.XLOOKUP(D329,D330:D$1000,N330:N$1000,0,0,1)*MAX(1,L329/_xlfn.XLOOKUP(D329,D330:D$1000,L330:L$1000,L329,0,1))*_xlfn.XLOOKUP(D329,D330:D$1000,I330:I$1000,0,0,1)-G329*H329)/I329,_xlfn.XLOOKUP(D329,D330:D$1000,N330:N$1000,,0,1)*MAX(1,L329/_xlfn.XLOOKUP(D329,D330:D$1000,L330:L$1000,,0,1)))</f>
        <v>372.95392203515837</v>
      </c>
      <c r="O329" s="59" cm="1">
        <f t="array" ref="O329">IFERROR(IF(I329&lt;_xlfn.XLOOKUP(D329,D330:D$1000,I330:I$1000,,0,1),G329*H329-_xlfn.XLOOKUP(D329,D330:D$1000,N330:N$1000,,0,1)*-E329*MAX(1,M329/IFERROR(_xlfn.XLOOKUP(D329,D330:D$1000,L330:L$1000,,0,1),M329)),0),0)</f>
        <v>0</v>
      </c>
      <c r="P329" s="56" t="str" cm="1">
        <f t="array" ref="P329">IF(O329&lt;0,1,IF(E329&lt;0, _xlfn.LET(_xlpm.v_cant, ABS(E329), _xlpm.v_fecha, B329, _xlpm.v_ticker, D329, _xlpm.rango_f, B330:B$1000, _xlpm.rango_t, E330:E$1000, _xlpm.filtro, D330:D$1000=_xlpm.v_ticker, _xlpm.c_fechas, _xlfn._xlws.FILTER(_xlpm.rango_f, _xlpm.filtro*(_xlpm.rango_t&gt;0), _xlpm.v_fecha), _xlpm.c_cants, _xlfn._xlws.FILTER(_xlpm.rango_t, _xlpm.filtro*(_xlpm.rango_t&gt;0), 0), _xlpm.v_acums_pasadas, ABS(SUMIFS(E330:E$1000, D330:D$1000, _xlpm.v_ticker, E330:E$1000,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0" spans="1:16" x14ac:dyDescent="0.45">
      <c r="A330" s="3" t="s">
        <v>21</v>
      </c>
      <c r="B330" s="4">
        <f t="shared" si="5"/>
        <v>45583</v>
      </c>
      <c r="C330" s="3" t="s">
        <v>90</v>
      </c>
      <c r="D330" s="3" t="s">
        <v>105</v>
      </c>
      <c r="E330" s="3">
        <v>1</v>
      </c>
      <c r="F330" s="3">
        <v>47.52</v>
      </c>
      <c r="G330" s="3">
        <v>-47.52</v>
      </c>
      <c r="H330" s="5">
        <v>19.8325</v>
      </c>
      <c r="I330" s="8">
        <f>SUMIF(D330:D$1000,D330,E330:E$1000)</f>
        <v>1.0547138</v>
      </c>
      <c r="J330" s="9" cm="1">
        <f t="array" ref="J330">IF(I330&gt;IFERROR(_xlfn.XLOOKUP(D330,D331:D$1000,I331:I$1000,,0,1),0),(IFERROR(_xlfn.XLOOKUP(D330,D331:D$1000,J331:J$1000,,0,1),0)*IFERROR(_xlfn.XLOOKUP(D330,D331:D$1000,I331:I$1000,,0,1),0)-G330*H330)/I330,_xlfn.XLOOKUP(D330,D331:D$1000,J331:J$1000,,0,1))</f>
        <v>942.44040421202419</v>
      </c>
      <c r="K330" s="10" cm="1">
        <f t="array" ref="K330">IFERROR(IF(I330&lt;_xlfn.XLOOKUP(D330,D331:D$1000,I331:I$1000,,0,1),G330*H330-_xlfn.XLOOKUP(D330,D331:D$1000,J331:J$1000,,0,1)*-E330,0),0)</f>
        <v>0</v>
      </c>
      <c r="L330" s="56">
        <v>136.828</v>
      </c>
      <c r="M330" s="56">
        <v>136.08000000000001</v>
      </c>
      <c r="N330" s="59" cm="1">
        <f t="array" ref="N330">IF(I330&gt;_xlfn.XLOOKUP(D330,D331:D$1000,I331:I$1000,0,0,1),(_xlfn.XLOOKUP(D330,D331:D$1000,N331:N$1000,0,0,1)*MAX(1,L330/_xlfn.XLOOKUP(D330,D331:D$1000,L331:L$1000,L330,0,1))*_xlfn.XLOOKUP(D330,D331:D$1000,I331:I$1000,0,0,1)-G330*H330)/I330,_xlfn.XLOOKUP(D330,D331:D$1000,N331:N$1000,,0,1)*MAX(1,L330/_xlfn.XLOOKUP(D330,D331:D$1000,L331:L$1000,,0,1)))</f>
        <v>942.44040421202419</v>
      </c>
      <c r="O330" s="59" cm="1">
        <f t="array" ref="O330">IFERROR(IF(I330&lt;_xlfn.XLOOKUP(D330,D331:D$1000,I331:I$1000,,0,1),G330*H330-_xlfn.XLOOKUP(D330,D331:D$1000,N331:N$1000,,0,1)*-E330*MAX(1,M330/IFERROR(_xlfn.XLOOKUP(D330,D331:D$1000,L331:L$1000,,0,1),M330)),0),0)</f>
        <v>0</v>
      </c>
      <c r="P330" s="56" t="str" cm="1">
        <f t="array" ref="P330">IF(O330&lt;0,1,IF(E330&lt;0, _xlfn.LET(_xlpm.v_cant, ABS(E330), _xlpm.v_fecha, B330, _xlpm.v_ticker, D330, _xlpm.rango_f, B331:B$1000, _xlpm.rango_t, E331:E$1000, _xlpm.filtro, D331:D$1000=_xlpm.v_ticker, _xlpm.c_fechas, _xlfn._xlws.FILTER(_xlpm.rango_f, _xlpm.filtro*(_xlpm.rango_t&gt;0), _xlpm.v_fecha), _xlpm.c_cants, _xlfn._xlws.FILTER(_xlpm.rango_t, _xlpm.filtro*(_xlpm.rango_t&gt;0), 0), _xlpm.v_acums_pasadas, ABS(SUMIFS(E331:E$1000, D331:D$1000, _xlpm.v_ticker, E331:E$1000,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1" spans="1:16" x14ac:dyDescent="0.45">
      <c r="A331" s="3" t="s">
        <v>21</v>
      </c>
      <c r="B331" s="4">
        <f t="shared" si="5"/>
        <v>45583</v>
      </c>
      <c r="C331" s="3" t="s">
        <v>90</v>
      </c>
      <c r="D331" s="3" t="s">
        <v>105</v>
      </c>
      <c r="E331" s="3">
        <v>5.47138E-2</v>
      </c>
      <c r="F331" s="3">
        <v>47.52</v>
      </c>
      <c r="G331" s="3">
        <v>-2.6</v>
      </c>
      <c r="H331" s="5">
        <v>19.8325</v>
      </c>
      <c r="I331" s="8">
        <f>SUMIF(D331:D$1000,D331,E331:E$1000)</f>
        <v>5.47138E-2</v>
      </c>
      <c r="J331" s="9" cm="1">
        <f t="array" ref="J331">IF(I331&gt;IFERROR(_xlfn.XLOOKUP(D331,D332:D$1000,I332:I$1000,,0,1),0),(IFERROR(_xlfn.XLOOKUP(D331,D332:D$1000,J332:J$1000,,0,1),0)*IFERROR(_xlfn.XLOOKUP(D331,D332:D$1000,I332:I$1000,,0,1),0)-G331*H331)/I331,_xlfn.XLOOKUP(D331,D332:D$1000,J332:J$1000,,0,1))</f>
        <v>942.44048119487229</v>
      </c>
      <c r="K331" s="10" cm="1">
        <f t="array" ref="K331">IFERROR(IF(I331&lt;_xlfn.XLOOKUP(D331,D332:D$1000,I332:I$1000,,0,1),G331*H331-_xlfn.XLOOKUP(D331,D332:D$1000,J332:J$1000,,0,1)*-E331,0),0)</f>
        <v>0</v>
      </c>
      <c r="L331" s="56">
        <v>136.828</v>
      </c>
      <c r="M331" s="56">
        <v>136.08000000000001</v>
      </c>
      <c r="N331" s="59" cm="1">
        <f t="array" ref="N331">IF(I331&gt;_xlfn.XLOOKUP(D331,D332:D$1000,I332:I$1000,0,0,1),(_xlfn.XLOOKUP(D331,D332:D$1000,N332:N$1000,0,0,1)*MAX(1,L331/_xlfn.XLOOKUP(D331,D332:D$1000,L332:L$1000,L331,0,1))*_xlfn.XLOOKUP(D331,D332:D$1000,I332:I$1000,0,0,1)-G331*H331)/I331,_xlfn.XLOOKUP(D331,D332:D$1000,N332:N$1000,,0,1)*MAX(1,L331/_xlfn.XLOOKUP(D331,D332:D$1000,L332:L$1000,,0,1)))</f>
        <v>942.44048119487229</v>
      </c>
      <c r="O331" s="59" cm="1">
        <f t="array" ref="O331">IFERROR(IF(I331&lt;_xlfn.XLOOKUP(D331,D332:D$1000,I332:I$1000,,0,1),G331*H331-_xlfn.XLOOKUP(D331,D332:D$1000,N332:N$1000,,0,1)*-E331*MAX(1,M331/IFERROR(_xlfn.XLOOKUP(D331,D332:D$1000,L332:L$1000,,0,1),M331)),0),0)</f>
        <v>0</v>
      </c>
      <c r="P331" s="56" t="str" cm="1">
        <f t="array" ref="P331">IF(O331&lt;0,1,IF(E331&lt;0, _xlfn.LET(_xlpm.v_cant, ABS(E331), _xlpm.v_fecha, B331, _xlpm.v_ticker, D331, _xlpm.rango_f, B332:B$1000, _xlpm.rango_t, E332:E$1000, _xlpm.filtro, D332:D$1000=_xlpm.v_ticker, _xlpm.c_fechas, _xlfn._xlws.FILTER(_xlpm.rango_f, _xlpm.filtro*(_xlpm.rango_t&gt;0), _xlpm.v_fecha), _xlpm.c_cants, _xlfn._xlws.FILTER(_xlpm.rango_t, _xlpm.filtro*(_xlpm.rango_t&gt;0), 0), _xlpm.v_acums_pasadas, ABS(SUMIFS(E332:E$1000, D332:D$1000, _xlpm.v_ticker, E332:E$1000,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2" spans="1:16" x14ac:dyDescent="0.45">
      <c r="A332" s="3" t="s">
        <v>21</v>
      </c>
      <c r="B332" s="4">
        <f t="shared" si="5"/>
        <v>45583</v>
      </c>
      <c r="C332" s="3" t="s">
        <v>90</v>
      </c>
      <c r="D332" s="3" t="s">
        <v>97</v>
      </c>
      <c r="E332" s="3">
        <v>6</v>
      </c>
      <c r="F332" s="3">
        <v>6.1288</v>
      </c>
      <c r="G332" s="3">
        <v>-36.770000000000003</v>
      </c>
      <c r="H332" s="5">
        <v>19.8325</v>
      </c>
      <c r="I332" s="8">
        <f>SUMIF(D332:D$1000,D332,E332:E$1000)</f>
        <v>6.5412478700000003</v>
      </c>
      <c r="J332" s="9" cm="1">
        <f t="array" ref="J332">IF(I332&gt;IFERROR(_xlfn.XLOOKUP(D332,D333:D$1000,I333:I$1000,,0,1),0),(IFERROR(_xlfn.XLOOKUP(D332,D333:D$1000,J333:J$1000,,0,1),0)*IFERROR(_xlfn.XLOOKUP(D332,D333:D$1000,I333:I$1000,,0,1),0)-G332*H332)/I332,_xlfn.XLOOKUP(D332,D333:D$1000,J333:J$1000,,0,1))</f>
        <v>121.54942616476632</v>
      </c>
      <c r="K332" s="10" cm="1">
        <f t="array" ref="K332">IFERROR(IF(I332&lt;_xlfn.XLOOKUP(D332,D333:D$1000,I333:I$1000,,0,1),G332*H332-_xlfn.XLOOKUP(D332,D333:D$1000,J333:J$1000,,0,1)*-E332,0),0)</f>
        <v>0</v>
      </c>
      <c r="L332" s="56">
        <v>136.828</v>
      </c>
      <c r="M332" s="56">
        <v>136.08000000000001</v>
      </c>
      <c r="N332" s="59" cm="1">
        <f t="array" ref="N332">IF(I332&gt;_xlfn.XLOOKUP(D332,D333:D$1000,I333:I$1000,0,0,1),(_xlfn.XLOOKUP(D332,D333:D$1000,N333:N$1000,0,0,1)*MAX(1,L332/_xlfn.XLOOKUP(D332,D333:D$1000,L333:L$1000,L332,0,1))*_xlfn.XLOOKUP(D332,D333:D$1000,I333:I$1000,0,0,1)-G332*H332)/I332,_xlfn.XLOOKUP(D332,D333:D$1000,N333:N$1000,,0,1)*MAX(1,L332/_xlfn.XLOOKUP(D332,D333:D$1000,L333:L$1000,,0,1)))</f>
        <v>121.54942616476632</v>
      </c>
      <c r="O332" s="59" cm="1">
        <f t="array" ref="O332">IFERROR(IF(I332&lt;_xlfn.XLOOKUP(D332,D333:D$1000,I333:I$1000,,0,1),G332*H332-_xlfn.XLOOKUP(D332,D333:D$1000,N333:N$1000,,0,1)*-E332*MAX(1,M332/IFERROR(_xlfn.XLOOKUP(D332,D333:D$1000,L333:L$1000,,0,1),M332)),0),0)</f>
        <v>0</v>
      </c>
      <c r="P332" s="56" t="str" cm="1">
        <f t="array" ref="P332">IF(O332&lt;0,1,IF(E332&lt;0, _xlfn.LET(_xlpm.v_cant, ABS(E332), _xlpm.v_fecha, B332, _xlpm.v_ticker, D332, _xlpm.rango_f, B333:B$1000, _xlpm.rango_t, E333:E$1000, _xlpm.filtro, D333:D$1000=_xlpm.v_ticker, _xlpm.c_fechas, _xlfn._xlws.FILTER(_xlpm.rango_f, _xlpm.filtro*(_xlpm.rango_t&gt;0), _xlpm.v_fecha), _xlpm.c_cants, _xlfn._xlws.FILTER(_xlpm.rango_t, _xlpm.filtro*(_xlpm.rango_t&gt;0), 0), _xlpm.v_acums_pasadas, ABS(SUMIFS(E333:E$1000, D333:D$1000, _xlpm.v_ticker, E333:E$1000,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3" spans="1:16" x14ac:dyDescent="0.45">
      <c r="A333" s="3" t="s">
        <v>21</v>
      </c>
      <c r="B333" s="4">
        <f t="shared" si="5"/>
        <v>45583</v>
      </c>
      <c r="C333" s="3" t="s">
        <v>90</v>
      </c>
      <c r="D333" s="3" t="s">
        <v>97</v>
      </c>
      <c r="E333" s="3">
        <v>0.54124786999999996</v>
      </c>
      <c r="F333" s="3">
        <v>6.1288</v>
      </c>
      <c r="G333" s="3">
        <v>-3.32</v>
      </c>
      <c r="H333" s="5">
        <v>19.8325</v>
      </c>
      <c r="I333" s="8">
        <f>SUMIF(D333:D$1000,D333,E333:E$1000)</f>
        <v>0.54124786999999996</v>
      </c>
      <c r="J333" s="9" cm="1">
        <f t="array" ref="J333">IF(I333&gt;IFERROR(_xlfn.XLOOKUP(D333,D334:D$1000,I334:I$1000,,0,1),0),(IFERROR(_xlfn.XLOOKUP(D333,D334:D$1000,J334:J$1000,,0,1),0)*IFERROR(_xlfn.XLOOKUP(D333,D334:D$1000,I334:I$1000,,0,1),0)-G333*H333)/I333,_xlfn.XLOOKUP(D333,D334:D$1000,J334:J$1000,,0,1))</f>
        <v>121.65202608557146</v>
      </c>
      <c r="K333" s="10" cm="1">
        <f t="array" ref="K333">IFERROR(IF(I333&lt;_xlfn.XLOOKUP(D333,D334:D$1000,I334:I$1000,,0,1),G333*H333-_xlfn.XLOOKUP(D333,D334:D$1000,J334:J$1000,,0,1)*-E333,0),0)</f>
        <v>0</v>
      </c>
      <c r="L333" s="56">
        <v>136.828</v>
      </c>
      <c r="M333" s="56">
        <v>136.08000000000001</v>
      </c>
      <c r="N333" s="59" cm="1">
        <f t="array" ref="N333">IF(I333&gt;_xlfn.XLOOKUP(D333,D334:D$1000,I334:I$1000,0,0,1),(_xlfn.XLOOKUP(D333,D334:D$1000,N334:N$1000,0,0,1)*MAX(1,L333/_xlfn.XLOOKUP(D333,D334:D$1000,L334:L$1000,L333,0,1))*_xlfn.XLOOKUP(D333,D334:D$1000,I334:I$1000,0,0,1)-G333*H333)/I333,_xlfn.XLOOKUP(D333,D334:D$1000,N334:N$1000,,0,1)*MAX(1,L333/_xlfn.XLOOKUP(D333,D334:D$1000,L334:L$1000,,0,1)))</f>
        <v>121.65202608557146</v>
      </c>
      <c r="O333" s="59" cm="1">
        <f t="array" ref="O333">IFERROR(IF(I333&lt;_xlfn.XLOOKUP(D333,D334:D$1000,I334:I$1000,,0,1),G333*H333-_xlfn.XLOOKUP(D333,D334:D$1000,N334:N$1000,,0,1)*-E333*MAX(1,M333/IFERROR(_xlfn.XLOOKUP(D333,D334:D$1000,L334:L$1000,,0,1),M333)),0),0)</f>
        <v>0</v>
      </c>
      <c r="P333" s="56" t="str" cm="1">
        <f t="array" ref="P333">IF(O333&lt;0,1,IF(E333&lt;0, _xlfn.LET(_xlpm.v_cant, ABS(E333), _xlpm.v_fecha, B333, _xlpm.v_ticker, D333, _xlpm.rango_f, B334:B$1000, _xlpm.rango_t, E334:E$1000, _xlpm.filtro, D334:D$1000=_xlpm.v_ticker, _xlpm.c_fechas, _xlfn._xlws.FILTER(_xlpm.rango_f, _xlpm.filtro*(_xlpm.rango_t&gt;0), _xlpm.v_fecha), _xlpm.c_cants, _xlfn._xlws.FILTER(_xlpm.rango_t, _xlpm.filtro*(_xlpm.rango_t&gt;0), 0), _xlpm.v_acums_pasadas, ABS(SUMIFS(E334:E$1000, D334:D$1000, _xlpm.v_ticker, E334:E$1000,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4" spans="1:16" x14ac:dyDescent="0.45">
      <c r="A334" s="3" t="s">
        <v>6</v>
      </c>
      <c r="B334" s="4">
        <f t="shared" si="5"/>
        <v>45527</v>
      </c>
      <c r="C334" s="3" t="s">
        <v>90</v>
      </c>
      <c r="D334" s="3" t="s">
        <v>94</v>
      </c>
      <c r="E334" s="3">
        <v>1</v>
      </c>
      <c r="F334" s="3">
        <v>78.290000000000006</v>
      </c>
      <c r="G334" s="3">
        <v>-78.290000000000006</v>
      </c>
      <c r="H334" s="5">
        <v>19.070799999999998</v>
      </c>
      <c r="I334" s="8">
        <f>SUMIF(D334:D$1000,D334,E334:E$1000)</f>
        <v>1</v>
      </c>
      <c r="J334" s="9" cm="1">
        <f t="array" ref="J334">IF(I334&gt;IFERROR(_xlfn.XLOOKUP(D334,D335:D$1000,I335:I$1000,,0,1),0),(IFERROR(_xlfn.XLOOKUP(D334,D335:D$1000,J335:J$1000,,0,1),0)*IFERROR(_xlfn.XLOOKUP(D334,D335:D$1000,I335:I$1000,,0,1),0)-G334*H334)/I334,_xlfn.XLOOKUP(D334,D335:D$1000,J335:J$1000,,0,1))</f>
        <v>1493.0529320000001</v>
      </c>
      <c r="K334" s="10" cm="1">
        <f t="array" ref="K334">IFERROR(IF(I334&lt;_xlfn.XLOOKUP(D334,D335:D$1000,I335:I$1000,,0,1),G334*H334-_xlfn.XLOOKUP(D334,D335:D$1000,J335:J$1000,,0,1)*-E334,0),0)</f>
        <v>0</v>
      </c>
      <c r="L334" s="56">
        <v>136.01300000000001</v>
      </c>
      <c r="M334" s="56">
        <v>136.00299999999999</v>
      </c>
      <c r="N334" s="59" cm="1">
        <f t="array" ref="N334">IF(I334&gt;_xlfn.XLOOKUP(D334,D335:D$1000,I335:I$1000,0,0,1),(_xlfn.XLOOKUP(D334,D335:D$1000,N335:N$1000,0,0,1)*MAX(1,L334/_xlfn.XLOOKUP(D334,D335:D$1000,L335:L$1000,L334,0,1))*_xlfn.XLOOKUP(D334,D335:D$1000,I335:I$1000,0,0,1)-G334*H334)/I334,_xlfn.XLOOKUP(D334,D335:D$1000,N335:N$1000,,0,1)*MAX(1,L334/_xlfn.XLOOKUP(D334,D335:D$1000,L335:L$1000,,0,1)))</f>
        <v>1493.0529320000001</v>
      </c>
      <c r="O334" s="59" cm="1">
        <f t="array" ref="O334">IFERROR(IF(I334&lt;_xlfn.XLOOKUP(D334,D335:D$1000,I335:I$1000,,0,1),G334*H334-_xlfn.XLOOKUP(D334,D335:D$1000,N335:N$1000,,0,1)*-E334*MAX(1,M334/IFERROR(_xlfn.XLOOKUP(D334,D335:D$1000,L335:L$1000,,0,1),M334)),0),0)</f>
        <v>0</v>
      </c>
      <c r="P334" s="56" t="str" cm="1">
        <f t="array" ref="P334">IF(O334&lt;0,1,IF(E334&lt;0, _xlfn.LET(_xlpm.v_cant, ABS(E334), _xlpm.v_fecha, B334, _xlpm.v_ticker, D334, _xlpm.rango_f, B335:B$1000, _xlpm.rango_t, E335:E$1000, _xlpm.filtro, D335:D$1000=_xlpm.v_ticker, _xlpm.c_fechas, _xlfn._xlws.FILTER(_xlpm.rango_f, _xlpm.filtro*(_xlpm.rango_t&gt;0), _xlpm.v_fecha), _xlpm.c_cants, _xlfn._xlws.FILTER(_xlpm.rango_t, _xlpm.filtro*(_xlpm.rango_t&gt;0), 0), _xlpm.v_acums_pasadas, ABS(SUMIFS(E335:E$1000, D335:D$1000, _xlpm.v_ticker, E335:E$1000,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5" spans="1:16" x14ac:dyDescent="0.45">
      <c r="A335" s="3" t="s">
        <v>6</v>
      </c>
      <c r="B335" s="4">
        <f t="shared" si="5"/>
        <v>45527</v>
      </c>
      <c r="C335" s="3" t="s">
        <v>90</v>
      </c>
      <c r="D335" s="3" t="s">
        <v>95</v>
      </c>
      <c r="E335" s="3">
        <v>0.24117907999999999</v>
      </c>
      <c r="F335" s="3">
        <v>110.4988</v>
      </c>
      <c r="G335" s="3">
        <v>-26.65</v>
      </c>
      <c r="H335" s="5">
        <v>19.070799999999998</v>
      </c>
      <c r="I335" s="8">
        <f>SUMIF(D335:D$1000,D335,E335:E$1000)</f>
        <v>0.24117907999999999</v>
      </c>
      <c r="J335" s="9" cm="1">
        <f t="array" ref="J335">IF(I335&gt;IFERROR(_xlfn.XLOOKUP(D335,D336:D$1000,I336:I$1000,,0,1),0),(IFERROR(_xlfn.XLOOKUP(D335,D336:D$1000,J336:J$1000,,0,1),0)*IFERROR(_xlfn.XLOOKUP(D335,D336:D$1000,I336:I$1000,,0,1),0)-G335*H335)/I335,_xlfn.XLOOKUP(D335,D336:D$1000,J336:J$1000,,0,1))</f>
        <v>2107.300600035459</v>
      </c>
      <c r="K335" s="10" cm="1">
        <f t="array" ref="K335">IFERROR(IF(I335&lt;_xlfn.XLOOKUP(D335,D336:D$1000,I336:I$1000,,0,1),G335*H335-_xlfn.XLOOKUP(D335,D336:D$1000,J336:J$1000,,0,1)*-E335,0),0)</f>
        <v>0</v>
      </c>
      <c r="L335" s="56">
        <v>136.01300000000001</v>
      </c>
      <c r="M335" s="56">
        <v>136.00299999999999</v>
      </c>
      <c r="N335" s="59" cm="1">
        <f t="array" ref="N335">IF(I335&gt;_xlfn.XLOOKUP(D335,D336:D$1000,I336:I$1000,0,0,1),(_xlfn.XLOOKUP(D335,D336:D$1000,N336:N$1000,0,0,1)*MAX(1,L335/_xlfn.XLOOKUP(D335,D336:D$1000,L336:L$1000,L335,0,1))*_xlfn.XLOOKUP(D335,D336:D$1000,I336:I$1000,0,0,1)-G335*H335)/I335,_xlfn.XLOOKUP(D335,D336:D$1000,N336:N$1000,,0,1)*MAX(1,L335/_xlfn.XLOOKUP(D335,D336:D$1000,L336:L$1000,,0,1)))</f>
        <v>2107.300600035459</v>
      </c>
      <c r="O335" s="59" cm="1">
        <f t="array" ref="O335">IFERROR(IF(I335&lt;_xlfn.XLOOKUP(D335,D336:D$1000,I336:I$1000,,0,1),G335*H335-_xlfn.XLOOKUP(D335,D336:D$1000,N336:N$1000,,0,1)*-E335*MAX(1,M335/IFERROR(_xlfn.XLOOKUP(D335,D336:D$1000,L336:L$1000,,0,1),M335)),0),0)</f>
        <v>0</v>
      </c>
      <c r="P335" s="56" t="str" cm="1">
        <f t="array" ref="P335">IF(O335&lt;0,1,IF(E335&lt;0, _xlfn.LET(_xlpm.v_cant, ABS(E335), _xlpm.v_fecha, B335, _xlpm.v_ticker, D335, _xlpm.rango_f, B336:B$1000, _xlpm.rango_t, E336:E$1000, _xlpm.filtro, D336:D$1000=_xlpm.v_ticker, _xlpm.c_fechas, _xlfn._xlws.FILTER(_xlpm.rango_f, _xlpm.filtro*(_xlpm.rango_t&gt;0), _xlpm.v_fecha), _xlpm.c_cants, _xlfn._xlws.FILTER(_xlpm.rango_t, _xlpm.filtro*(_xlpm.rango_t&gt;0), 0), _xlpm.v_acums_pasadas, ABS(SUMIFS(E336:E$1000, D336:D$1000, _xlpm.v_ticker, E336:E$1000,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6" spans="1:16" x14ac:dyDescent="0.45">
      <c r="A336" s="3" t="s">
        <v>16</v>
      </c>
      <c r="B336" s="4">
        <f t="shared" si="5"/>
        <v>45429</v>
      </c>
      <c r="C336" s="3" t="s">
        <v>90</v>
      </c>
      <c r="D336" s="3" t="s">
        <v>93</v>
      </c>
      <c r="E336" s="3">
        <v>9.1019500000000003E-2</v>
      </c>
      <c r="F336" s="3">
        <v>131.72999999999999</v>
      </c>
      <c r="G336" s="3">
        <v>-11.99</v>
      </c>
      <c r="H336" s="5">
        <v>16.621700000000001</v>
      </c>
      <c r="I336" s="8">
        <f>SUMIF(D336:D$1000,D336,E336:E$1000)</f>
        <v>0.36091989999999996</v>
      </c>
      <c r="J336" s="9" cm="1">
        <f t="array" ref="J336">IF(I336&gt;IFERROR(_xlfn.XLOOKUP(D336,D337:D$1000,I337:I$1000,,0,1),0),(IFERROR(_xlfn.XLOOKUP(D336,D337:D$1000,J337:J$1000,,0,1),0)*IFERROR(_xlfn.XLOOKUP(D336,D337:D$1000,I337:I$1000,,0,1),0)-G336*H336)/I336,_xlfn.XLOOKUP(D336,D337:D$1000,J337:J$1000,,0,1))</f>
        <v>2209.7723982523548</v>
      </c>
      <c r="K336" s="10" cm="1">
        <f t="array" ref="K336">IFERROR(IF(I336&lt;_xlfn.XLOOKUP(D336,D337:D$1000,I337:I$1000,,0,1),G336*H336-_xlfn.XLOOKUP(D336,D337:D$1000,J337:J$1000,,0,1)*-E336,0),0)</f>
        <v>0</v>
      </c>
      <c r="L336" s="56">
        <v>134.08699999999999</v>
      </c>
      <c r="M336" s="56">
        <v>134.33600000000001</v>
      </c>
      <c r="N336" s="59" cm="1">
        <f t="array" ref="N336">IF(I336&gt;_xlfn.XLOOKUP(D336,D337:D$1000,I337:I$1000,0,0,1),(_xlfn.XLOOKUP(D336,D337:D$1000,N337:N$1000,0,0,1)*MAX(1,L336/_xlfn.XLOOKUP(D336,D337:D$1000,L337:L$1000,L336,0,1))*_xlfn.XLOOKUP(D336,D337:D$1000,I337:I$1000,0,0,1)-G336*H336)/I336,_xlfn.XLOOKUP(D336,D337:D$1000,N337:N$1000,,0,1)*MAX(1,L336/_xlfn.XLOOKUP(D336,D337:D$1000,L337:L$1000,,0,1)))</f>
        <v>2210.0444076913268</v>
      </c>
      <c r="O336" s="59" cm="1">
        <f t="array" ref="O336">IFERROR(IF(I336&lt;_xlfn.XLOOKUP(D336,D337:D$1000,I337:I$1000,,0,1),G336*H336-_xlfn.XLOOKUP(D336,D337:D$1000,N337:N$1000,,0,1)*-E336*MAX(1,M336/IFERROR(_xlfn.XLOOKUP(D336,D337:D$1000,L337:L$1000,,0,1),M336)),0),0)</f>
        <v>0</v>
      </c>
      <c r="P336" s="56" t="str" cm="1">
        <f t="array" ref="P336">IF(O336&lt;0,1,IF(E336&lt;0, _xlfn.LET(_xlpm.v_cant, ABS(E336), _xlpm.v_fecha, B336, _xlpm.v_ticker, D336, _xlpm.rango_f, B337:B$1000, _xlpm.rango_t, E337:E$1000, _xlpm.filtro, D337:D$1000=_xlpm.v_ticker, _xlpm.c_fechas, _xlfn._xlws.FILTER(_xlpm.rango_f, _xlpm.filtro*(_xlpm.rango_t&gt;0), _xlpm.v_fecha), _xlpm.c_cants, _xlfn._xlws.FILTER(_xlpm.rango_t, _xlpm.filtro*(_xlpm.rango_t&gt;0), 0), _xlpm.v_acums_pasadas, ABS(SUMIFS(E337:E$1000, D337:D$1000, _xlpm.v_ticker, E337:E$1000,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7" spans="1:16" x14ac:dyDescent="0.45">
      <c r="A337" s="3" t="s">
        <v>16</v>
      </c>
      <c r="B337" s="4">
        <f t="shared" si="5"/>
        <v>45429</v>
      </c>
      <c r="C337" s="3" t="s">
        <v>90</v>
      </c>
      <c r="D337" s="3" t="s">
        <v>102</v>
      </c>
      <c r="E337" s="3">
        <v>7.7741700000000004E-3</v>
      </c>
      <c r="F337" s="3">
        <v>770.5</v>
      </c>
      <c r="G337" s="3">
        <v>-5.99</v>
      </c>
      <c r="H337" s="5">
        <v>16.621700000000001</v>
      </c>
      <c r="I337" s="8">
        <f>SUMIF(D337:D$1000,D337,E337:E$1000)</f>
        <v>3.7821649999999998E-2</v>
      </c>
      <c r="J337" s="9" cm="1">
        <f t="array" ref="J337">IF(I337&gt;IFERROR(_xlfn.XLOOKUP(D337,D338:D$1000,I338:I$1000,,0,1),0),(IFERROR(_xlfn.XLOOKUP(D337,D338:D$1000,J338:J$1000,,0,1),0)*IFERROR(_xlfn.XLOOKUP(D337,D338:D$1000,I338:I$1000,,0,1),0)-G337*H337)/I337,_xlfn.XLOOKUP(D337,D338:D$1000,J338:J$1000,,0,1))</f>
        <v>12951.92703121096</v>
      </c>
      <c r="K337" s="10" cm="1">
        <f t="array" ref="K337">IFERROR(IF(I337&lt;_xlfn.XLOOKUP(D337,D338:D$1000,I338:I$1000,,0,1),G337*H337-_xlfn.XLOOKUP(D337,D338:D$1000,J338:J$1000,,0,1)*-E337,0),0)</f>
        <v>0</v>
      </c>
      <c r="L337" s="56">
        <v>134.08699999999999</v>
      </c>
      <c r="M337" s="56">
        <v>134.33600000000001</v>
      </c>
      <c r="N337" s="59" cm="1">
        <f t="array" ref="N337">IF(I337&gt;_xlfn.XLOOKUP(D337,D338:D$1000,I338:I$1000,0,0,1),(_xlfn.XLOOKUP(D337,D338:D$1000,N338:N$1000,0,0,1)*MAX(1,L337/_xlfn.XLOOKUP(D337,D338:D$1000,L338:L$1000,L337,0,1))*_xlfn.XLOOKUP(D337,D338:D$1000,I338:I$1000,0,0,1)-G337*H337)/I337,_xlfn.XLOOKUP(D337,D338:D$1000,N338:N$1000,,0,1)*MAX(1,L337/_xlfn.XLOOKUP(D337,D338:D$1000,L338:L$1000,,0,1)))</f>
        <v>12953.620450622313</v>
      </c>
      <c r="O337" s="59" cm="1">
        <f t="array" ref="O337">IFERROR(IF(I337&lt;_xlfn.XLOOKUP(D337,D338:D$1000,I338:I$1000,,0,1),G337*H337-_xlfn.XLOOKUP(D337,D338:D$1000,N338:N$1000,,0,1)*-E337*MAX(1,M337/IFERROR(_xlfn.XLOOKUP(D337,D338:D$1000,L338:L$1000,,0,1),M337)),0),0)</f>
        <v>0</v>
      </c>
      <c r="P337" s="56" t="str" cm="1">
        <f t="array" ref="P337">IF(O337&lt;0,1,IF(E337&lt;0, _xlfn.LET(_xlpm.v_cant, ABS(E337), _xlpm.v_fecha, B337, _xlpm.v_ticker, D337, _xlpm.rango_f, B338:B$1000, _xlpm.rango_t, E338:E$1000, _xlpm.filtro, D338:D$1000=_xlpm.v_ticker, _xlpm.c_fechas, _xlfn._xlws.FILTER(_xlpm.rango_f, _xlpm.filtro*(_xlpm.rango_t&gt;0), _xlpm.v_fecha), _xlpm.c_cants, _xlfn._xlws.FILTER(_xlpm.rango_t, _xlpm.filtro*(_xlpm.rango_t&gt;0), 0), _xlpm.v_acums_pasadas, ABS(SUMIFS(E338:E$1000, D338:D$1000, _xlpm.v_ticker, E338:E$1000,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8" spans="1:16" x14ac:dyDescent="0.45">
      <c r="A338" s="3" t="s">
        <v>16</v>
      </c>
      <c r="B338" s="4">
        <f t="shared" si="5"/>
        <v>45429</v>
      </c>
      <c r="C338" s="3" t="s">
        <v>90</v>
      </c>
      <c r="D338" s="3" t="s">
        <v>125</v>
      </c>
      <c r="E338" s="3">
        <v>0.52052556000000005</v>
      </c>
      <c r="F338" s="3">
        <v>11.5076</v>
      </c>
      <c r="G338" s="3">
        <v>-5.99</v>
      </c>
      <c r="H338" s="5">
        <v>16.621700000000001</v>
      </c>
      <c r="I338" s="8">
        <f>SUMIF(D338:D$1000,D338,E338:E$1000)</f>
        <v>3.0346765000000002</v>
      </c>
      <c r="J338" s="9" cm="1">
        <f t="array" ref="J338">IF(I338&gt;IFERROR(_xlfn.XLOOKUP(D338,D339:D$1000,I339:I$1000,,0,1),0),(IFERROR(_xlfn.XLOOKUP(D338,D339:D$1000,J339:J$1000,,0,1),0)*IFERROR(_xlfn.XLOOKUP(D338,D339:D$1000,I339:I$1000,,0,1),0)-G338*H338)/I338,_xlfn.XLOOKUP(D338,D339:D$1000,J339:J$1000,,0,1))</f>
        <v>182.50200738035829</v>
      </c>
      <c r="K338" s="10" cm="1">
        <f t="array" ref="K338">IFERROR(IF(I338&lt;_xlfn.XLOOKUP(D338,D339:D$1000,I339:I$1000,,0,1),G338*H338-_xlfn.XLOOKUP(D338,D339:D$1000,J339:J$1000,,0,1)*-E338,0),0)</f>
        <v>0</v>
      </c>
      <c r="L338" s="56">
        <v>134.08699999999999</v>
      </c>
      <c r="M338" s="56">
        <v>134.33600000000001</v>
      </c>
      <c r="N338" s="59" cm="1">
        <f t="array" ref="N338">IF(I338&gt;_xlfn.XLOOKUP(D338,D339:D$1000,I339:I$1000,0,0,1),(_xlfn.XLOOKUP(D338,D339:D$1000,N339:N$1000,0,0,1)*MAX(1,L338/_xlfn.XLOOKUP(D338,D339:D$1000,L339:L$1000,L338,0,1))*_xlfn.XLOOKUP(D338,D339:D$1000,I339:I$1000,0,0,1)-G338*H338)/I338,_xlfn.XLOOKUP(D338,D339:D$1000,N339:N$1000,,0,1)*MAX(1,L338/_xlfn.XLOOKUP(D338,D339:D$1000,L339:L$1000,,0,1)))</f>
        <v>182.95663785958888</v>
      </c>
      <c r="O338" s="59" cm="1">
        <f t="array" ref="O338">IFERROR(IF(I338&lt;_xlfn.XLOOKUP(D338,D339:D$1000,I339:I$1000,,0,1),G338*H338-_xlfn.XLOOKUP(D338,D339:D$1000,N339:N$1000,,0,1)*-E338*MAX(1,M338/IFERROR(_xlfn.XLOOKUP(D338,D339:D$1000,L339:L$1000,,0,1),M338)),0),0)</f>
        <v>0</v>
      </c>
      <c r="P338" s="56" t="str" cm="1">
        <f t="array" ref="P338">IF(O338&lt;0,1,IF(E338&lt;0, _xlfn.LET(_xlpm.v_cant, ABS(E338), _xlpm.v_fecha, B338, _xlpm.v_ticker, D338, _xlpm.rango_f, B339:B$1000, _xlpm.rango_t, E339:E$1000, _xlpm.filtro, D339:D$1000=_xlpm.v_ticker, _xlpm.c_fechas, _xlfn._xlws.FILTER(_xlpm.rango_f, _xlpm.filtro*(_xlpm.rango_t&gt;0), _xlpm.v_fecha), _xlpm.c_cants, _xlfn._xlws.FILTER(_xlpm.rango_t, _xlpm.filtro*(_xlpm.rango_t&gt;0), 0), _xlpm.v_acums_pasadas, ABS(SUMIFS(E339:E$1000, D339:D$1000, _xlpm.v_ticker, E339:E$1000,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39" spans="1:16" x14ac:dyDescent="0.45">
      <c r="A339" s="3" t="s">
        <v>15</v>
      </c>
      <c r="B339" s="4">
        <f t="shared" si="5"/>
        <v>45370</v>
      </c>
      <c r="C339" s="3" t="s">
        <v>90</v>
      </c>
      <c r="D339" s="3" t="s">
        <v>93</v>
      </c>
      <c r="E339" s="3">
        <v>0.26990039999999998</v>
      </c>
      <c r="F339" s="3">
        <v>131.53</v>
      </c>
      <c r="G339" s="3">
        <v>-35.5</v>
      </c>
      <c r="H339" s="5">
        <v>16.8523</v>
      </c>
      <c r="I339" s="8">
        <f>SUMIF(D339:D$1000,D339,E339:E$1000)</f>
        <v>0.26990039999999998</v>
      </c>
      <c r="J339" s="9" cm="1">
        <f t="array" ref="J339">IF(I339&gt;IFERROR(_xlfn.XLOOKUP(D339,D340:D$1000,I340:I$1000,,0,1),0),(IFERROR(_xlfn.XLOOKUP(D339,D340:D$1000,J340:J$1000,,0,1),0)*IFERROR(_xlfn.XLOOKUP(D339,D340:D$1000,I340:I$1000,,0,1),0)-G339*H339)/I339,_xlfn.XLOOKUP(D339,D340:D$1000,J340:J$1000,,0,1))</f>
        <v>2216.5830432263165</v>
      </c>
      <c r="K339" s="10" cm="1">
        <f t="array" ref="K339">IFERROR(IF(I339&lt;_xlfn.XLOOKUP(D339,D340:D$1000,I340:I$1000,,0,1),G339*H339-_xlfn.XLOOKUP(D339,D340:D$1000,J340:J$1000,,0,1)*-E339,0),0)</f>
        <v>0</v>
      </c>
      <c r="L339" s="56">
        <v>134.065</v>
      </c>
      <c r="M339" s="56">
        <v>133.68100000000001</v>
      </c>
      <c r="N339" s="59" cm="1">
        <f t="array" ref="N339">IF(I339&gt;_xlfn.XLOOKUP(D339,D340:D$1000,I340:I$1000,0,0,1),(_xlfn.XLOOKUP(D339,D340:D$1000,N340:N$1000,0,0,1)*MAX(1,L339/_xlfn.XLOOKUP(D339,D340:D$1000,L340:L$1000,L339,0,1))*_xlfn.XLOOKUP(D339,D340:D$1000,I340:I$1000,0,0,1)-G339*H339)/I339,_xlfn.XLOOKUP(D339,D340:D$1000,N340:N$1000,,0,1)*MAX(1,L339/_xlfn.XLOOKUP(D339,D340:D$1000,L340:L$1000,,0,1)))</f>
        <v>2216.5830432263165</v>
      </c>
      <c r="O339" s="59" cm="1">
        <f t="array" ref="O339">IFERROR(IF(I339&lt;_xlfn.XLOOKUP(D339,D340:D$1000,I340:I$1000,,0,1),G339*H339-_xlfn.XLOOKUP(D339,D340:D$1000,N340:N$1000,,0,1)*-E339*MAX(1,M339/IFERROR(_xlfn.XLOOKUP(D339,D340:D$1000,L340:L$1000,,0,1),M339)),0),0)</f>
        <v>0</v>
      </c>
      <c r="P339" s="56" t="str" cm="1">
        <f t="array" ref="P339">IF(O339&lt;0,1,IF(E339&lt;0, _xlfn.LET(_xlpm.v_cant, ABS(E339), _xlpm.v_fecha, B339, _xlpm.v_ticker, D339, _xlpm.rango_f, B340:B$1000, _xlpm.rango_t, E340:E$1000, _xlpm.filtro, D340:D$1000=_xlpm.v_ticker, _xlpm.c_fechas, _xlfn._xlws.FILTER(_xlpm.rango_f, _xlpm.filtro*(_xlpm.rango_t&gt;0), _xlpm.v_fecha), _xlpm.c_cants, _xlfn._xlws.FILTER(_xlpm.rango_t, _xlpm.filtro*(_xlpm.rango_t&gt;0), 0), _xlpm.v_acums_pasadas, ABS(SUMIFS(E340:E$1000, D340:D$1000, _xlpm.v_ticker, E340:E$1000,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40" spans="1:16" x14ac:dyDescent="0.45">
      <c r="A340" s="3" t="s">
        <v>15</v>
      </c>
      <c r="B340" s="4">
        <f t="shared" si="5"/>
        <v>45370</v>
      </c>
      <c r="C340" s="3" t="s">
        <v>90</v>
      </c>
      <c r="D340" s="3" t="s">
        <v>102</v>
      </c>
      <c r="E340" s="3">
        <v>3.0047480000000001E-2</v>
      </c>
      <c r="F340" s="3">
        <v>770.78</v>
      </c>
      <c r="G340" s="3">
        <v>-23.16</v>
      </c>
      <c r="H340" s="5">
        <v>16.8523</v>
      </c>
      <c r="I340" s="8">
        <f>SUMIF(D340:D$1000,D340,E340:E$1000)</f>
        <v>3.0047480000000001E-2</v>
      </c>
      <c r="J340" s="9" cm="1">
        <f t="array" ref="J340">IF(I340&gt;IFERROR(_xlfn.XLOOKUP(D340,D341:D$1000,I341:I$1000,,0,1),0),(IFERROR(_xlfn.XLOOKUP(D340,D341:D$1000,J341:J$1000,,0,1),0)*IFERROR(_xlfn.XLOOKUP(D340,D341:D$1000,I341:I$1000,,0,1),0)-G340*H340)/I340,_xlfn.XLOOKUP(D340,D341:D$1000,J341:J$1000,,0,1))</f>
        <v>12989.417681615894</v>
      </c>
      <c r="K340" s="10" cm="1">
        <f t="array" ref="K340">IFERROR(IF(I340&lt;_xlfn.XLOOKUP(D340,D341:D$1000,I341:I$1000,,0,1),G340*H340-_xlfn.XLOOKUP(D340,D341:D$1000,J341:J$1000,,0,1)*-E340,0),0)</f>
        <v>0</v>
      </c>
      <c r="L340" s="56">
        <v>134.065</v>
      </c>
      <c r="M340" s="56">
        <v>133.68100000000001</v>
      </c>
      <c r="N340" s="59" cm="1">
        <f t="array" ref="N340">IF(I340&gt;_xlfn.XLOOKUP(D340,D341:D$1000,I341:I$1000,0,0,1),(_xlfn.XLOOKUP(D340,D341:D$1000,N341:N$1000,0,0,1)*MAX(1,L340/_xlfn.XLOOKUP(D340,D341:D$1000,L341:L$1000,L340,0,1))*_xlfn.XLOOKUP(D340,D341:D$1000,I341:I$1000,0,0,1)-G340*H340)/I340,_xlfn.XLOOKUP(D340,D341:D$1000,N341:N$1000,,0,1)*MAX(1,L340/_xlfn.XLOOKUP(D340,D341:D$1000,L341:L$1000,,0,1)))</f>
        <v>12989.417681615894</v>
      </c>
      <c r="O340" s="59" cm="1">
        <f t="array" ref="O340">IFERROR(IF(I340&lt;_xlfn.XLOOKUP(D340,D341:D$1000,I341:I$1000,,0,1),G340*H340-_xlfn.XLOOKUP(D340,D341:D$1000,N341:N$1000,,0,1)*-E340*MAX(1,M340/IFERROR(_xlfn.XLOOKUP(D340,D341:D$1000,L341:L$1000,,0,1),M340)),0),0)</f>
        <v>0</v>
      </c>
      <c r="P340" s="56" t="str" cm="1">
        <f t="array" ref="P340">IF(O340&lt;0,1,IF(E340&lt;0, _xlfn.LET(_xlpm.v_cant, ABS(E340), _xlpm.v_fecha, B340, _xlpm.v_ticker, D340, _xlpm.rango_f, B341:B$1000, _xlpm.rango_t, E341:E$1000, _xlpm.filtro, D341:D$1000=_xlpm.v_ticker, _xlpm.c_fechas, _xlfn._xlws.FILTER(_xlpm.rango_f, _xlpm.filtro*(_xlpm.rango_t&gt;0), _xlpm.v_fecha), _xlpm.c_cants, _xlfn._xlws.FILTER(_xlpm.rango_t, _xlpm.filtro*(_xlpm.rango_t&gt;0), 0), _xlpm.v_acums_pasadas, ABS(SUMIFS(E341:E$1000, D341:D$1000, _xlpm.v_ticker, E341:E$1000,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41" spans="1:16" x14ac:dyDescent="0.45">
      <c r="A341" s="3" t="s">
        <v>14</v>
      </c>
      <c r="B341" s="4">
        <f t="shared" si="5"/>
        <v>45342</v>
      </c>
      <c r="C341" s="3" t="s">
        <v>90</v>
      </c>
      <c r="D341" s="3" t="s">
        <v>125</v>
      </c>
      <c r="E341" s="3">
        <v>2</v>
      </c>
      <c r="F341" s="3">
        <v>10.598800000000001</v>
      </c>
      <c r="G341" s="3">
        <v>-21.2</v>
      </c>
      <c r="H341" s="5">
        <v>17.0458</v>
      </c>
      <c r="I341" s="8">
        <f>SUMIF(D341:D$1000,D341,E341:E$1000)</f>
        <v>2.5141509399999999</v>
      </c>
      <c r="J341" s="9" cm="1">
        <f t="array" ref="J341">IF(I341&gt;IFERROR(_xlfn.XLOOKUP(D341,D342:D$1000,I342:I$1000,,0,1),0),(IFERROR(_xlfn.XLOOKUP(D341,D342:D$1000,J342:J$1000,,0,1),0)*IFERROR(_xlfn.XLOOKUP(D341,D342:D$1000,I342:I$1000,,0,1),0)-G341*H341)/I341,_xlfn.XLOOKUP(D341,D342:D$1000,J342:J$1000,,0,1))</f>
        <v>180.68548024407792</v>
      </c>
      <c r="K341" s="10" cm="1">
        <f t="array" ref="K341">IFERROR(IF(I341&lt;_xlfn.XLOOKUP(D341,D342:D$1000,I342:I$1000,,0,1),G341*H341-_xlfn.XLOOKUP(D341,D342:D$1000,J342:J$1000,,0,1)*-E341,0),0)</f>
        <v>0</v>
      </c>
      <c r="L341" s="56">
        <v>133.68100000000001</v>
      </c>
      <c r="M341" s="56">
        <v>133.55500000000001</v>
      </c>
      <c r="N341" s="59" cm="1">
        <f t="array" ref="N341">IF(I341&gt;_xlfn.XLOOKUP(D341,D342:D$1000,I342:I$1000,0,0,1),(_xlfn.XLOOKUP(D341,D342:D$1000,N342:N$1000,0,0,1)*MAX(1,L341/_xlfn.XLOOKUP(D341,D342:D$1000,L342:L$1000,L341,0,1))*_xlfn.XLOOKUP(D341,D342:D$1000,I342:I$1000,0,0,1)-G341*H341)/I341,_xlfn.XLOOKUP(D341,D342:D$1000,N342:N$1000,,0,1)*MAX(1,L341/_xlfn.XLOOKUP(D341,D342:D$1000,L342:L$1000,,0,1)))</f>
        <v>180.68548024407792</v>
      </c>
      <c r="O341" s="59" cm="1">
        <f t="array" ref="O341">IFERROR(IF(I341&lt;_xlfn.XLOOKUP(D341,D342:D$1000,I342:I$1000,,0,1),G341*H341-_xlfn.XLOOKUP(D341,D342:D$1000,N342:N$1000,,0,1)*-E341*MAX(1,M341/IFERROR(_xlfn.XLOOKUP(D341,D342:D$1000,L342:L$1000,,0,1),M341)),0),0)</f>
        <v>0</v>
      </c>
      <c r="P341" s="56" t="str" cm="1">
        <f t="array" ref="P341">IF(O341&lt;0,1,IF(E341&lt;0, _xlfn.LET(_xlpm.v_cant, ABS(E341), _xlpm.v_fecha, B341, _xlpm.v_ticker, D341, _xlpm.rango_f, B342:B$1000, _xlpm.rango_t, E342:E$1000, _xlpm.filtro, D342:D$1000=_xlpm.v_ticker, _xlpm.c_fechas, _xlfn._xlws.FILTER(_xlpm.rango_f, _xlpm.filtro*(_xlpm.rango_t&gt;0), _xlpm.v_fecha), _xlpm.c_cants, _xlfn._xlws.FILTER(_xlpm.rango_t, _xlpm.filtro*(_xlpm.rango_t&gt;0), 0), _xlpm.v_acums_pasadas, ABS(SUMIFS(E342:E$1000, D342:D$1000, _xlpm.v_ticker, E342:E$1000,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42" spans="1:16" x14ac:dyDescent="0.45">
      <c r="A342" s="3" t="s">
        <v>14</v>
      </c>
      <c r="B342" s="4">
        <f t="shared" si="5"/>
        <v>45342</v>
      </c>
      <c r="C342" s="3" t="s">
        <v>90</v>
      </c>
      <c r="D342" s="3" t="s">
        <v>125</v>
      </c>
      <c r="E342" s="3">
        <v>0.51415093999999995</v>
      </c>
      <c r="F342" s="3">
        <v>10.6</v>
      </c>
      <c r="G342" s="3">
        <v>-5.45</v>
      </c>
      <c r="H342" s="5">
        <v>17.0458</v>
      </c>
      <c r="I342" s="8">
        <f>SUMIF(D342:D$1000,D342,E342:E$1000)</f>
        <v>0.51415093999999995</v>
      </c>
      <c r="J342" s="9" cm="1">
        <f t="array" ref="J342">IF(I342&gt;IFERROR(_xlfn.XLOOKUP(D342,D343:D$1000,I343:I$1000,,0,1),0),(IFERROR(_xlfn.XLOOKUP(D342,D343:D$1000,J343:J$1000,,0,1),0)*IFERROR(_xlfn.XLOOKUP(D342,D343:D$1000,I343:I$1000,,0,1),0)-G342*H342)/I342,_xlfn.XLOOKUP(D342,D343:D$1000,J343:J$1000,,0,1))</f>
        <v>180.6854811935188</v>
      </c>
      <c r="K342" s="10" cm="1">
        <f t="array" ref="K342">IFERROR(IF(I342&lt;_xlfn.XLOOKUP(D342,D343:D$1000,I343:I$1000,,0,1),G342*H342-_xlfn.XLOOKUP(D342,D343:D$1000,J343:J$1000,,0,1)*-E342,0),0)</f>
        <v>0</v>
      </c>
      <c r="L342" s="56">
        <v>133.68100000000001</v>
      </c>
      <c r="M342" s="56">
        <v>133.55500000000001</v>
      </c>
      <c r="N342" s="59" cm="1">
        <f t="array" ref="N342">IF(I342&gt;_xlfn.XLOOKUP(D342,D343:D$1000,I343:I$1000,0,0,1),(_xlfn.XLOOKUP(D342,D343:D$1000,N343:N$1000,0,0,1)*MAX(1,L342/_xlfn.XLOOKUP(D342,D343:D$1000,L343:L$1000,L342,0,1))*_xlfn.XLOOKUP(D342,D343:D$1000,I343:I$1000,0,0,1)-G342*H342)/I342,_xlfn.XLOOKUP(D342,D343:D$1000,N343:N$1000,,0,1)*MAX(1,L342/_xlfn.XLOOKUP(D342,D343:D$1000,L343:L$1000,,0,1)))</f>
        <v>180.6854811935188</v>
      </c>
      <c r="O342" s="59" cm="1">
        <f t="array" ref="O342">IFERROR(IF(I342&lt;_xlfn.XLOOKUP(D342,D343:D$1000,I343:I$1000,,0,1),G342*H342-_xlfn.XLOOKUP(D342,D343:D$1000,N343:N$1000,,0,1)*-E342*MAX(1,M342/IFERROR(_xlfn.XLOOKUP(D342,D343:D$1000,L343:L$1000,,0,1),M342)),0),0)</f>
        <v>0</v>
      </c>
      <c r="P342" s="56" t="str" cm="1">
        <f t="array" ref="P342">IF(O342&lt;0,1,IF(E342&lt;0, _xlfn.LET(_xlpm.v_cant, ABS(E342), _xlpm.v_fecha, B342, _xlpm.v_ticker, D342, _xlpm.rango_f, B343:B$1000, _xlpm.rango_t, E343:E$1000, _xlpm.filtro, D343:D$1000=_xlpm.v_ticker, _xlpm.c_fechas, _xlfn._xlws.FILTER(_xlpm.rango_f, _xlpm.filtro*(_xlpm.rango_t&gt;0), _xlpm.v_fecha), _xlpm.c_cants, _xlfn._xlws.FILTER(_xlpm.rango_t, _xlpm.filtro*(_xlpm.rango_t&gt;0), 0), _xlpm.v_acums_pasadas, ABS(SUMIFS(E343:E$1000, D343:D$1000, _xlpm.v_ticker, E343:E$1000,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43" spans="1:16" x14ac:dyDescent="0.45">
      <c r="A343" s="3" t="s">
        <v>13</v>
      </c>
      <c r="B343" s="4">
        <f t="shared" si="5"/>
        <v>45323</v>
      </c>
      <c r="C343" s="3" t="s">
        <v>91</v>
      </c>
      <c r="D343" s="3" t="s">
        <v>92</v>
      </c>
      <c r="E343" s="3">
        <v>-1</v>
      </c>
      <c r="F343" s="3">
        <v>17.064599999999999</v>
      </c>
      <c r="G343" s="3">
        <v>17.059999999999999</v>
      </c>
      <c r="H343" s="5">
        <v>17.133500000000002</v>
      </c>
      <c r="I343" s="8">
        <f>SUMIF(D343:D$1000,D343,E343:E$1000)</f>
        <v>0</v>
      </c>
      <c r="J343" s="9" cm="1">
        <f t="array" ref="J343">IF(I343&gt;IFERROR(_xlfn.XLOOKUP(D343,D344:D$1000,I344:I$1000,,0,1),0),(IFERROR(_xlfn.XLOOKUP(D343,D344:D$1000,J344:J$1000,,0,1),0)*IFERROR(_xlfn.XLOOKUP(D343,D344:D$1000,I344:I$1000,,0,1),0)-G343*H343)/I343,_xlfn.XLOOKUP(D343,D344:D$1000,J344:J$1000,,0,1))</f>
        <v>189.97035287146591</v>
      </c>
      <c r="K343" s="10" cm="1">
        <f t="array" ref="K343">IFERROR(IF(I343&lt;_xlfn.XLOOKUP(D343,D344:D$1000,I344:I$1000,,0,1),G343*H343-_xlfn.XLOOKUP(D343,D344:D$1000,J344:J$1000,,0,1)*-E343,0),0)</f>
        <v>102.32715712853408</v>
      </c>
      <c r="L343" s="56">
        <v>133.68100000000001</v>
      </c>
      <c r="M343" s="56">
        <v>133.55500000000001</v>
      </c>
      <c r="N343" s="59" cm="1">
        <f t="array" ref="N343">IF(I343&gt;_xlfn.XLOOKUP(D343,D344:D$1000,I344:I$1000,0,0,1),(_xlfn.XLOOKUP(D343,D344:D$1000,N344:N$1000,0,0,1)*MAX(1,L343/_xlfn.XLOOKUP(D343,D344:D$1000,L344:L$1000,L343,0,1))*_xlfn.XLOOKUP(D343,D344:D$1000,I344:I$1000,0,0,1)-G343*H343)/I343,_xlfn.XLOOKUP(D343,D344:D$1000,N344:N$1000,,0,1)*MAX(1,L343/_xlfn.XLOOKUP(D343,D344:D$1000,L344:L$1000,,0,1)))</f>
        <v>194.43856657818705</v>
      </c>
      <c r="O343" s="59" cm="1">
        <f t="array" ref="O343">IFERROR(IF(I343&lt;_xlfn.XLOOKUP(D343,D344:D$1000,I344:I$1000,,0,1),G343*H343-_xlfn.XLOOKUP(D343,D344:D$1000,N344:N$1000,,0,1)*-E343*MAX(1,M343/IFERROR(_xlfn.XLOOKUP(D343,D344:D$1000,L344:L$1000,,0,1),M343)),0),0)</f>
        <v>97.858943421812938</v>
      </c>
      <c r="P343" s="56" cm="1">
        <f t="array" ref="P343">IF(O343&lt;0,1,IF(E343&lt;0, _xlfn.LET(_xlpm.v_cant, ABS(E343), _xlpm.v_fecha, B343, _xlpm.v_ticker, D343, _xlpm.rango_f, B344:B$1000, _xlpm.rango_t, E344:E$1000, _xlpm.filtro, D344:D$1000=_xlpm.v_ticker, _xlpm.c_fechas, _xlfn._xlws.FILTER(_xlpm.rango_f, _xlpm.filtro*(_xlpm.rango_t&gt;0), _xlpm.v_fecha), _xlpm.c_cants, _xlfn._xlws.FILTER(_xlpm.rango_t, _xlpm.filtro*(_xlpm.rango_t&gt;0), 0), _xlpm.v_acums_pasadas, ABS(SUMIFS(E344:E$1000, D344:D$1000, _xlpm.v_ticker, E344:E$1000,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44" spans="1:16" x14ac:dyDescent="0.45">
      <c r="A344" s="3" t="s">
        <v>13</v>
      </c>
      <c r="B344" s="4">
        <f t="shared" si="5"/>
        <v>45323</v>
      </c>
      <c r="C344" s="3" t="s">
        <v>91</v>
      </c>
      <c r="D344" s="3" t="s">
        <v>92</v>
      </c>
      <c r="E344" s="3">
        <v>-0.56803044000000003</v>
      </c>
      <c r="F344" s="3">
        <v>17.059999999999999</v>
      </c>
      <c r="G344" s="3">
        <v>9.69</v>
      </c>
      <c r="H344" s="5">
        <v>17.133500000000002</v>
      </c>
      <c r="I344" s="8">
        <f>SUMIF(D344:D$1000,D344,E344:E$1000)</f>
        <v>1</v>
      </c>
      <c r="J344" s="9" cm="1">
        <f t="array" ref="J344">IF(I344&gt;IFERROR(_xlfn.XLOOKUP(D344,D345:D$1000,I345:I$1000,,0,1),0),(IFERROR(_xlfn.XLOOKUP(D344,D345:D$1000,J345:J$1000,,0,1),0)*IFERROR(_xlfn.XLOOKUP(D344,D345:D$1000,I345:I$1000,,0,1),0)-G344*H344)/I344,_xlfn.XLOOKUP(D344,D345:D$1000,J345:J$1000,,0,1))</f>
        <v>189.97035287146591</v>
      </c>
      <c r="K344" s="10" cm="1">
        <f t="array" ref="K344">IFERROR(IF(I344&lt;_xlfn.XLOOKUP(D344,D345:D$1000,I345:I$1000,,0,1),G344*H344-_xlfn.XLOOKUP(D344,D345:D$1000,J345:J$1000,,0,1)*-E344,0),0)</f>
        <v>58.114671871465958</v>
      </c>
      <c r="L344" s="56">
        <v>133.68100000000001</v>
      </c>
      <c r="M344" s="56">
        <v>133.55500000000001</v>
      </c>
      <c r="N344" s="59" cm="1">
        <f t="array" ref="N344">IF(I344&gt;_xlfn.XLOOKUP(D344,D345:D$1000,I345:I$1000,0,0,1),(_xlfn.XLOOKUP(D344,D345:D$1000,N345:N$1000,0,0,1)*MAX(1,L344/_xlfn.XLOOKUP(D344,D345:D$1000,L345:L$1000,L344,0,1))*_xlfn.XLOOKUP(D344,D345:D$1000,I345:I$1000,0,0,1)-G344*H344)/I344,_xlfn.XLOOKUP(D344,D345:D$1000,N345:N$1000,,0,1)*MAX(1,L344/_xlfn.XLOOKUP(D344,D345:D$1000,L345:L$1000,,0,1)))</f>
        <v>194.43856657818705</v>
      </c>
      <c r="O344" s="59" cm="1">
        <f t="array" ref="O344">IFERROR(IF(I344&lt;_xlfn.XLOOKUP(D344,D345:D$1000,I345:I$1000,,0,1),G344*H344-_xlfn.XLOOKUP(D344,D345:D$1000,N345:N$1000,,0,1)*-E344*MAX(1,M344/IFERROR(_xlfn.XLOOKUP(D344,D345:D$1000,L345:L$1000,,0,1),M344)),0),0)</f>
        <v>55.680691468456516</v>
      </c>
      <c r="P344" s="56" cm="1">
        <f t="array" ref="P344">IF(O344&lt;0,1,IF(E344&lt;0, _xlfn.LET(_xlpm.v_cant, ABS(E344), _xlpm.v_fecha, B344, _xlpm.v_ticker, D344, _xlpm.rango_f, B345:B$1000, _xlpm.rango_t, E345:E$1000, _xlpm.filtro, D345:D$1000=_xlpm.v_ticker, _xlpm.c_fechas, _xlfn._xlws.FILTER(_xlpm.rango_f, _xlpm.filtro*(_xlpm.rango_t&gt;0), _xlpm.v_fecha), _xlpm.c_cants, _xlfn._xlws.FILTER(_xlpm.rango_t, _xlpm.filtro*(_xlpm.rango_t&gt;0), 0), _xlpm.v_acums_pasadas, ABS(SUMIFS(E345:E$1000, D345:D$1000, _xlpm.v_ticker, E345:E$1000,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1</v>
      </c>
    </row>
    <row r="345" spans="1:16" x14ac:dyDescent="0.45">
      <c r="A345" s="3" t="s">
        <v>5</v>
      </c>
      <c r="B345" s="4">
        <f t="shared" si="5"/>
        <v>45226</v>
      </c>
      <c r="C345" s="3" t="s">
        <v>90</v>
      </c>
      <c r="D345" s="3" t="s">
        <v>92</v>
      </c>
      <c r="E345" s="3">
        <v>1</v>
      </c>
      <c r="F345" s="3">
        <v>10.509</v>
      </c>
      <c r="G345" s="3">
        <v>-10.51</v>
      </c>
      <c r="H345" s="5">
        <v>18.075199999999999</v>
      </c>
      <c r="I345" s="8">
        <f>SUMIF(D345:D$1000,D345,E345:E$1000)</f>
        <v>1.56803044</v>
      </c>
      <c r="J345" s="9" cm="1">
        <f t="array" ref="J345">IF(I345&gt;IFERROR(_xlfn.XLOOKUP(D345,D346:D$1000,I346:I$1000,,0,1),0),(IFERROR(_xlfn.XLOOKUP(D345,D346:D$1000,J346:J$1000,,0,1),0)*IFERROR(_xlfn.XLOOKUP(D345,D346:D$1000,I346:I$1000,,0,1),0)-G345*H345)/I345,_xlfn.XLOOKUP(D345,D346:D$1000,J346:J$1000,,0,1))</f>
        <v>189.97035287146591</v>
      </c>
      <c r="K345" s="10" cm="1">
        <f t="array" ref="K345">IFERROR(IF(I345&lt;_xlfn.XLOOKUP(D345,D346:D$1000,I346:I$1000,,0,1),G345*H345-_xlfn.XLOOKUP(D345,D346:D$1000,J346:J$1000,,0,1)*-E345,0),0)</f>
        <v>0</v>
      </c>
      <c r="L345" s="56">
        <v>130.60900000000001</v>
      </c>
      <c r="M345" s="56">
        <v>130.12</v>
      </c>
      <c r="N345" s="59" cm="1">
        <f t="array" ref="N345">IF(I345&gt;_xlfn.XLOOKUP(D345,D346:D$1000,I346:I$1000,0,0,1),(_xlfn.XLOOKUP(D345,D346:D$1000,N346:N$1000,0,0,1)*MAX(1,L345/_xlfn.XLOOKUP(D345,D346:D$1000,L346:L$1000,L345,0,1))*_xlfn.XLOOKUP(D345,D346:D$1000,I346:I$1000,0,0,1)-G345*H345)/I345,_xlfn.XLOOKUP(D345,D346:D$1000,N346:N$1000,,0,1)*MAX(1,L345/_xlfn.XLOOKUP(D345,D346:D$1000,L346:L$1000,,0,1)))</f>
        <v>189.97035287146591</v>
      </c>
      <c r="O345" s="59" cm="1">
        <f t="array" ref="O345">IFERROR(IF(I345&lt;_xlfn.XLOOKUP(D345,D346:D$1000,I346:I$1000,,0,1),G345*H345-_xlfn.XLOOKUP(D345,D346:D$1000,N346:N$1000,,0,1)*-E345*MAX(1,M345/IFERROR(_xlfn.XLOOKUP(D345,D346:D$1000,L346:L$1000,,0,1),M345)),0),0)</f>
        <v>0</v>
      </c>
      <c r="P345" s="56" t="str" cm="1">
        <f t="array" ref="P345">IF(O345&lt;0,1,IF(E345&lt;0, _xlfn.LET(_xlpm.v_cant, ABS(E345), _xlpm.v_fecha, B345, _xlpm.v_ticker, D345, _xlpm.rango_f, B346:B$1000, _xlpm.rango_t, E346:E$1000, _xlpm.filtro, D346:D$1000=_xlpm.v_ticker, _xlpm.c_fechas, _xlfn._xlws.FILTER(_xlpm.rango_f, _xlpm.filtro*(_xlpm.rango_t&gt;0), _xlpm.v_fecha), _xlpm.c_cants, _xlfn._xlws.FILTER(_xlpm.rango_t, _xlpm.filtro*(_xlpm.rango_t&gt;0), 0), _xlpm.v_acums_pasadas, ABS(SUMIFS(E346:E$1000, D346:D$1000, _xlpm.v_ticker, E346:E$1000,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  <row r="346" spans="1:16" x14ac:dyDescent="0.45">
      <c r="A346" s="3" t="s">
        <v>5</v>
      </c>
      <c r="B346" s="4">
        <f t="shared" si="5"/>
        <v>45226</v>
      </c>
      <c r="C346" s="3" t="s">
        <v>90</v>
      </c>
      <c r="D346" s="3" t="s">
        <v>92</v>
      </c>
      <c r="E346" s="3">
        <v>0.56803044000000003</v>
      </c>
      <c r="F346" s="3">
        <v>10.51</v>
      </c>
      <c r="G346" s="3">
        <v>-5.97</v>
      </c>
      <c r="H346" s="5">
        <v>18.075199999999999</v>
      </c>
      <c r="I346" s="8">
        <f>SUMIF(D346:D$1000,D346,E346:E$1000)</f>
        <v>0.56803044000000003</v>
      </c>
      <c r="J346" s="9" cm="1">
        <f t="array" ref="J346">IF(I346&gt;IFERROR(_xlfn.XLOOKUP(D346,D347:D$1000,I347:I$1000,,0,1),0),(IFERROR(_xlfn.XLOOKUP(D346,D347:D$1000,J347:J$1000,,0,1),0)*IFERROR(_xlfn.XLOOKUP(D346,D347:D$1000,I347:I$1000,,0,1),0)-G346*H346)/I346,_xlfn.XLOOKUP(D346,D347:D$1000,J347:J$1000,,0,1))</f>
        <v>189.97035440565472</v>
      </c>
      <c r="K346" s="10" cm="1">
        <f t="array" ref="K346">IFERROR(IF(I346&lt;_xlfn.XLOOKUP(D346,D347:D$1000,I347:I$1000,,0,1),G346*H346-_xlfn.XLOOKUP(D346,D347:D$1000,J347:J$1000,,0,1)*-E346,0),0)</f>
        <v>0</v>
      </c>
      <c r="L346" s="56">
        <v>130.60900000000001</v>
      </c>
      <c r="M346" s="56">
        <v>130.12</v>
      </c>
      <c r="N346" s="59" cm="1">
        <f t="array" ref="N346">IF(I346&gt;_xlfn.XLOOKUP(D346,D347:D$1000,I347:I$1000,0,0,1),(_xlfn.XLOOKUP(D346,D347:D$1000,N347:N$1000,0,0,1)*MAX(1,L346/_xlfn.XLOOKUP(D346,D347:D$1000,L347:L$1000,L346,0,1))*_xlfn.XLOOKUP(D346,D347:D$1000,I347:I$1000,0,0,1)-G346*H346)/I346,_xlfn.XLOOKUP(D346,D347:D$1000,N347:N$1000,,0,1)*MAX(1,L346/_xlfn.XLOOKUP(D346,D347:D$1000,L347:L$1000,,0,1)))</f>
        <v>189.97035440565472</v>
      </c>
      <c r="O346" s="59" cm="1">
        <f t="array" ref="O346">IFERROR(IF(I346&lt;_xlfn.XLOOKUP(D346,D347:D$1000,I347:I$1000,,0,1),G346*H346-_xlfn.XLOOKUP(D346,D347:D$1000,N347:N$1000,,0,1)*-E346*MAX(1,M346/IFERROR(_xlfn.XLOOKUP(D346,D347:D$1000,L347:L$1000,,0,1),M346)),0),0)</f>
        <v>0</v>
      </c>
      <c r="P346" s="56" t="str" cm="1">
        <f t="array" ref="P346">IF(O346&lt;0,1,IF(E346&lt;0, _xlfn.LET(_xlpm.v_cant, ABS(E346), _xlpm.v_fecha, B346, _xlpm.v_ticker, D346, _xlpm.rango_f, B347:B$1000, _xlpm.rango_t, E347:E$1000, _xlpm.filtro, D347:D$1000=_xlpm.v_ticker, _xlpm.c_fechas, _xlfn._xlws.FILTER(_xlpm.rango_f, _xlpm.filtro*(_xlpm.rango_t&gt;0), _xlpm.v_fecha), _xlpm.c_cants, _xlfn._xlws.FILTER(_xlpm.rango_t, _xlpm.filtro*(_xlpm.rango_t&gt;0), 0), _xlpm.v_acums_pasadas, ABS(SUMIFS(E347:E$1000, D347:D$1000, _xlpm.v_ticker, E347:E$1000,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DATEDIF(_xlpm.cf, _xlpm.v_fecha, "Y"), IF(_xlpm.t_tomados &gt; 0, _xlpm.t_tomados * _xlpm.años, 0) ))), _xlpm.Años_Promedio, SUM(_xlpm.pond) / _xlpm.v_cant, MAX(1, INT(_xlpm.Años_Promedio)) ), "-"))</f>
        <v>-</v>
      </c>
    </row>
  </sheetData>
  <autoFilter ref="A1:P1" xr:uid="{00000000-0001-0000-0000-000000000000}"/>
  <phoneticPr fontId="2" type="noConversion"/>
  <conditionalFormatting sqref="O1:O1048576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F70D3-CA04-4A39-B0D0-2FCC9B26F711}">
  <sheetPr>
    <tabColor rgb="FFC00000"/>
  </sheetPr>
  <dimension ref="A1:S34"/>
  <sheetViews>
    <sheetView showGridLines="0" showRowColHeaders="0" workbookViewId="0">
      <selection activeCell="K7" sqref="K7"/>
    </sheetView>
  </sheetViews>
  <sheetFormatPr baseColWidth="10" defaultColWidth="12.54296875" defaultRowHeight="16" x14ac:dyDescent="0.45"/>
  <cols>
    <col min="1" max="2" width="12.54296875" style="3"/>
    <col min="3" max="3" width="22.453125" style="3" bestFit="1" customWidth="1"/>
    <col min="4" max="7" width="12.54296875" style="3"/>
    <col min="8" max="8" width="11.54296875" style="5" customWidth="1"/>
    <col min="9" max="9" width="15.81640625" style="61" customWidth="1"/>
    <col min="10" max="10" width="11.54296875" style="5" customWidth="1"/>
    <col min="11" max="11" width="12.54296875" style="5"/>
    <col min="12" max="12" width="10.08984375" style="5" customWidth="1"/>
    <col min="13" max="13" width="12.26953125" style="10" customWidth="1"/>
    <col min="14" max="14" width="12.6328125" style="10" customWidth="1"/>
    <col min="15" max="18" width="12.54296875" style="3"/>
    <col min="19" max="19" width="16.1796875" style="3" customWidth="1"/>
    <col min="20" max="16384" width="12.54296875" style="3"/>
  </cols>
  <sheetData>
    <row r="1" spans="1:19" s="13" customFormat="1" ht="60.5" customHeight="1" x14ac:dyDescent="0.35">
      <c r="A1" s="6" t="s">
        <v>216</v>
      </c>
      <c r="B1" s="6" t="s">
        <v>217</v>
      </c>
      <c r="C1" s="6" t="s">
        <v>218</v>
      </c>
      <c r="D1" s="6" t="s">
        <v>2</v>
      </c>
      <c r="E1" s="6" t="s">
        <v>3</v>
      </c>
      <c r="F1" s="6" t="s">
        <v>219</v>
      </c>
      <c r="G1" s="6" t="s">
        <v>220</v>
      </c>
      <c r="H1" s="17" t="s">
        <v>388</v>
      </c>
      <c r="I1" s="17" t="s">
        <v>530</v>
      </c>
      <c r="J1" s="17" t="s">
        <v>531</v>
      </c>
      <c r="K1" s="17" t="s">
        <v>215</v>
      </c>
      <c r="L1" s="17" t="s">
        <v>363</v>
      </c>
      <c r="M1" s="17" t="s">
        <v>528</v>
      </c>
      <c r="N1" s="17" t="s">
        <v>523</v>
      </c>
      <c r="O1" s="17" t="s">
        <v>524</v>
      </c>
      <c r="P1" s="17" t="s">
        <v>525</v>
      </c>
      <c r="Q1" s="17" t="s">
        <v>529</v>
      </c>
      <c r="R1" s="17" t="s">
        <v>526</v>
      </c>
      <c r="S1" s="17" t="s">
        <v>527</v>
      </c>
    </row>
    <row r="2" spans="1:19" x14ac:dyDescent="0.45">
      <c r="A2" s="12">
        <v>46161</v>
      </c>
      <c r="B2" s="3" t="s">
        <v>222</v>
      </c>
      <c r="C2" s="3" t="s">
        <v>223</v>
      </c>
      <c r="D2" s="3">
        <v>-1</v>
      </c>
      <c r="E2" s="3">
        <v>0.62</v>
      </c>
      <c r="F2" s="3">
        <v>-1.0528172</v>
      </c>
      <c r="G2" s="3">
        <v>60.9471828</v>
      </c>
      <c r="H2" s="14">
        <f>IFERROR(DATE("20"&amp;MID(C2,7,2),MID(C2,9,2),MID(C2,11,2)),"0")</f>
        <v>46185</v>
      </c>
      <c r="I2" s="60" t="str" cm="1">
        <f t="array" ref="I2">IF(MID(C2,13,1)="C","Call",IF(MID(C2,13,1)="P","Put",IF(D2&gt;0,_xlfn._xlws.FILTER(C3:C$100,(ISNUMBER(SEARCH(C2,C3:C$100)))*(J3:J$100=E2)*((($B2="assignment")*(I3:I$100="put")*(D3:D$100&lt;0))+(($B2="exercise")*(I3:I$100="call")*(D3:D$100&gt;0)))*(H3:H$100=_xlfn.MINIFS(H3:H$100,C3:C$100,"*"&amp;C2&amp;"*",J3:J$100,E2,I3:I$100,IF(B2="assignment","put","call"),D3:D$100,IF(B2="assignment","&lt;0","&gt;0"),H3:H$100,"&gt;="&amp;A2)),""),"")))</f>
        <v>Call</v>
      </c>
      <c r="J2" s="9">
        <f>IFERROR(MID(C2,14,8)/1000,0)</f>
        <v>26</v>
      </c>
      <c r="K2" s="9">
        <v>17.396799999999999</v>
      </c>
      <c r="L2" s="5">
        <f>SUMIF(C2:C$33,C2,D2:D$34)</f>
        <v>-1</v>
      </c>
      <c r="M2" s="10" cm="1">
        <f t="array" ref="M2">IF(L2&gt;0,IF(L2&gt;_xlfn.XLOOKUP(C2,C3:C$34,L3:L$34,0,0,1),(_xlfn.XLOOKUP(C2,C3:C$34,M3:M$34,0,0,1)*_xlfn.XLOOKUP(C2,C3:C$34,L3:L$34,0,0,1)-G2*K2+_xlfn.XLOOKUP(I2,C3:C$34,M3:M$34,0,0,1)*_xlfn.XLOOKUP(I2,C3:C$34,L3:L$34,0,0,1)/D2*100)/L2,_xlfn.XLOOKUP(C2,C3:C$34,M3:M$34,0,0,1)),IF(L2&lt;0,IF(L2&lt;_xlfn.XLOOKUP(C2,C3:C$34,L3:L$34,0,0,1),(_xlfn.XLOOKUP(C2,C3:C$34,M3:M$34,0,0,1)*_xlfn.XLOOKUP(C2,C3:C$34,L3:L$34,0,0,1)-G2*K2)/L2,_xlfn.XLOOKUP(C2,C3:C$34,M3:M$34,0,0,1)),0))</f>
        <v>1060.28594973504</v>
      </c>
      <c r="N2" s="10" cm="1">
        <f t="array" ref="N2">IF(_xlfn.XLOOKUP(C2,I2:I$2,I2:I$2,0,0,-1)=C2,0,IF(AND(H2&lt;&gt;"0",H2&lt;Resumen!$B$3,_xlfn.XLOOKUP(C2,C$2:C971,L$2:L971,,0,1)&lt;&gt;0),G2*K2,IFERROR(IF(_xlfn.XLOOKUP(C2,C3:C$34,L3:L$34,,0,1)&lt;0,IF(L2&gt;_xlfn.XLOOKUP(C2,C3:C$34,L3:L$34,,0,1),D2*_xlfn.XLOOKUP(C2,C3:C$34,M3:M$34,,0,1)+G2*K2,0),IF(_xlfn.XLOOKUP(C2,C3:C$34,L3:L$34,,0,1)&gt;0,IF(L2&lt;_xlfn.XLOOKUP(C2,C3:C$34,L3:L$34,,0,1),G2*K2-_xlfn.XLOOKUP(C2,C3:C$34,M3:M$34,,0,1)*-D2,0),0)),0)))</f>
        <v>0</v>
      </c>
      <c r="O2" s="56">
        <v>145.52699999999999</v>
      </c>
      <c r="P2" s="56">
        <v>145.83099999999999</v>
      </c>
      <c r="Q2" s="10" cm="1">
        <f t="array" ref="Q2">IF(L2&gt;0,IF(L2&gt;_xlfn.XLOOKUP(C2,C3:C$34,L3:L$34,0,0,1),(_xlfn.XLOOKUP(C2,C3:C$34,Q3:Q$34,0,0,1)*MAX(1,O2/_xlfn.XLOOKUP(C2,C3:C$1000,O3:O$1000,O2,0,1))*_xlfn.XLOOKUP(C2,C3:C$1000,L3:L$1000,0,0,1)+IF(_xlfn.XLOOKUP(I2,C3:C$34,I3:I$34,0,0,1)="put",-_xlfn.XLOOKUP(I2,C3:C$34,Q3:Q$34,0,0,1)*D2/100,_xlfn.XLOOKUP(I2,C3:C$34,Q3:Q$34,0,0,1)*D2/100)-G2*K2)/L2,_xlfn.XLOOKUP(C2,C3:C$34,Q3:Q$34,,0,1)*MAX(1,O2/_xlfn.XLOOKUP(C2,C3:C$1000,O3:O$1000,O2,0,1))),IF(L2&lt;0,IF(L2&lt;_xlfn.XLOOKUP(C2,C3:C$34,L3:L$34,0,0,1),(_xlfn.XLOOKUP(C2,C3:C$34,Q3:Q$34,0,0,1)-G2*K2)/L2,_xlfn.XLOOKUP(C2,C3:C$34,Q3:Q$34,,0,1)),0))</f>
        <v>1060.28594973504</v>
      </c>
      <c r="R2" s="59" cm="1">
        <f t="array" ref="R2">IF(_xlfn.XLOOKUP(C2,I$2:I2,I$2:I2,0,0,-1)=C2,0,IF(AND(H2&lt;&gt;"0",H2&lt;Resumen!$B$3,_xlfn.XLOOKUP(C2,C$2:C971,L$2:L971,,0,1)&lt;&gt;0),G2*K2,IFERROR(IF(_xlfn.XLOOKUP(C2,C3:C$34,L3:L$34,,0,1)&lt;0,IF(L2&gt;_xlfn.XLOOKUP(C2,C3:C$34,L3:L$34,,0,1),D2*_xlfn.XLOOKUP(C2,C3:C$34,Q3:Q$34,,0,1)+G2*K2,0),IF(_xlfn.XLOOKUP(C2,C3:C$34,L3:L$34,,0,1)&gt;0,IF(L2&lt;_xlfn.XLOOKUP(C2,C3:C$34,L3:L$34,,0,1),+G2*K2-_xlfn.XLOOKUP(C2,C3:C$34,Q3:Q$34,,0,1)*-D2*MAX(1,P2/_xlfn.XLOOKUP(C2,C3:C$34,O3:O$34,P2,0,1)),0),0)),0)))</f>
        <v>0</v>
      </c>
      <c r="S2" s="56" t="str" cm="1">
        <f t="array" ref="S2">IF(AND(H2&lt;&gt;"0",R2&lt;&gt;0),1,IF(R2=0,"-",IF(D2&lt;0, _xlfn.LET(_xlpm.v_cant, ABS(D2), _xlpm.v_fecha, A2, _xlpm.v_ticker, C2, _xlpm.rango_f, A3:A$1000, _xlpm.rango_t, D3:D$1000, _xlpm.filtro, C3:C$1000=_xlpm.v_ticker, _xlpm.c_fechas, _xlfn._xlws.FILTER(_xlpm.rango_f, _xlpm.filtro*(_xlpm.rango_t&gt;0), _xlpm.v_fecha), _xlpm.c_cants, _xlfn._xlws.FILTER(_xlpm.rango_t, _xlpm.filtro*(_xlpm.rango_t&gt;0), 0), _xlpm.v_acums_pasadas, ABS(SUMIFS(D3:D$1000, C3:C$1000, _xlpm.v_ticker, D3:D$1000,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3" spans="1:19" x14ac:dyDescent="0.45">
      <c r="A3" s="12">
        <v>46150</v>
      </c>
      <c r="B3" s="3" t="s">
        <v>224</v>
      </c>
      <c r="C3" s="3" t="s">
        <v>225</v>
      </c>
      <c r="D3" s="3">
        <v>100</v>
      </c>
      <c r="E3" s="3">
        <v>0.32500000000000001</v>
      </c>
      <c r="F3" s="3">
        <v>-4</v>
      </c>
      <c r="G3" s="3">
        <v>-36.5</v>
      </c>
      <c r="H3" s="14" t="str">
        <f t="shared" ref="H3:H33" si="0">IFERROR(DATE("20"&amp;MID(C3,7,2),MID(C3,9,2),MID(C3,11,2)),"0")</f>
        <v>0</v>
      </c>
      <c r="I3" s="60" t="str" cm="1">
        <f t="array" ref="I3">IF(MID(C3,13,1)="C","Call",IF(MID(C3,13,1)="P","Put",IF(D3&gt;0,_xlfn._xlws.FILTER(C4:C$100,(ISNUMBER(SEARCH(C3,C4:C$100)))*(J4:J$100=E3)*((($B3="assignment")*(I4:I$100="put")*(D4:D$100&lt;0))+(($B3="exercise")*(I4:I$100="call")*(D4:D$100&gt;0)))*(H4:H$100=_xlfn.MINIFS(H4:H$100,C4:C$100,"*"&amp;C3&amp;"*",J4:J$100,E3,I4:I$100,IF(B3="assignment","put","call"),D4:D$100,IF(B3="assignment","&lt;0","&gt;0"),H4:H$100,"&gt;="&amp;A3)),""),"")))</f>
        <v/>
      </c>
      <c r="J3" s="9">
        <f t="shared" ref="J3:J33" si="1">IFERROR(MID(C3,14,8)/1000,0)</f>
        <v>0</v>
      </c>
      <c r="K3" s="9">
        <v>17.2105</v>
      </c>
      <c r="L3" s="5">
        <f>SUMIF(C3:C$33,C3,D3:D$33)</f>
        <v>150</v>
      </c>
      <c r="M3" s="10" cm="1">
        <f t="array" ref="M3">IF(L3&gt;0,IF(L3&gt;_xlfn.XLOOKUP(C3,C4:C$34,L4:L$34,0,0,1),(_xlfn.XLOOKUP(C3,C4:C$34,M4:M$34,0,0,1)*_xlfn.XLOOKUP(C3,C4:C$34,L4:L$34,0,0,1)-G3*K3+_xlfn.XLOOKUP(I3,C4:C$34,M4:M$34,0,0,1)*_xlfn.XLOOKUP(I3,C4:C$34,L4:L$34,0,0,1)/D3*100)/L3,_xlfn.XLOOKUP(C3,C4:C$34,M4:M$34,0,0,1)),IF(L3&lt;0,IF(L3&lt;_xlfn.XLOOKUP(C3,C4:C$34,L4:L$34,0,0,1),(_xlfn.XLOOKUP(C3,C4:C$34,M4:M$34,0,0,1)*_xlfn.XLOOKUP(C3,C4:C$34,L4:L$34,0,0,1)-G3*K3)/L3,_xlfn.XLOOKUP(C3,C4:C$34,M4:M$34,0,0,1)),0))</f>
        <v>10.719814333333334</v>
      </c>
      <c r="N3" s="10" cm="1">
        <f t="array" ref="N3">IF(_xlfn.XLOOKUP(C3,I$2:I3,I$2:I3,0,0,-1)=C3,0,IF(AND(H3&lt;&gt;"0",H3&lt;Resumen!$B$3,_xlfn.XLOOKUP(C3,C$2:C972,L$2:L972,,0,1)&lt;&gt;0),G3*K3,IFERROR(IF(_xlfn.XLOOKUP(C3,C4:C$34,L4:L$34,,0,1)&lt;0,IF(L3&gt;_xlfn.XLOOKUP(C3,C4:C$34,L4:L$34,,0,1),D3*_xlfn.XLOOKUP(C3,C4:C$34,M4:M$34,,0,1)+G3*K3,0),IF(_xlfn.XLOOKUP(C3,C4:C$34,L4:L$34,,0,1)&gt;0,IF(L3&lt;_xlfn.XLOOKUP(C3,C4:C$34,L4:L$34,,0,1),G3*K3-_xlfn.XLOOKUP(C3,C4:C$34,M4:M$34,,0,1)*-D3,0),0)),0)))</f>
        <v>0</v>
      </c>
      <c r="O3" s="56">
        <v>145.52699999999999</v>
      </c>
      <c r="P3" s="56">
        <v>145.83099999999999</v>
      </c>
      <c r="Q3" s="10" cm="1">
        <f t="array" ref="Q3">IF(L3&gt;0,IF(L3&gt;_xlfn.XLOOKUP(C3,C4:C$34,L4:L$34,0,0,1),(_xlfn.XLOOKUP(C3,C4:C$34,Q4:Q$34,0,0,1)*MAX(1,O3/_xlfn.XLOOKUP(C3,C4:C$1000,O4:O$1000,O3,0,1))*_xlfn.XLOOKUP(C3,C4:C$1000,L4:L$1000,0,0,1)+IF(_xlfn.XLOOKUP(I3,C4:C$34,I4:I$34,0,0,1)="put",-_xlfn.XLOOKUP(I3,C4:C$34,Q4:Q$34,0,0,1)*D3/100,_xlfn.XLOOKUP(I3,C4:C$34,Q4:Q$34,0,0,1)*D3/100)-G3*K3)/L3,_xlfn.XLOOKUP(C3,C4:C$34,Q4:Q$34,,0,1)*MAX(1,O3/_xlfn.XLOOKUP(C3,C4:C$1000,O4:O$1000,O3,0,1))),IF(L3&lt;0,IF(L3&lt;_xlfn.XLOOKUP(C3,C4:C$34,L4:L$34,0,0,1),(_xlfn.XLOOKUP(C3,C4:C$34,Q4:Q$34,0,0,1)-G3*K3)/L3,_xlfn.XLOOKUP(C3,C4:C$34,Q4:Q$34,,0,1)),0))</f>
        <v>10.719814333333334</v>
      </c>
      <c r="R3" s="59" cm="1">
        <f t="array" ref="R3">IF(_xlfn.XLOOKUP(C3,I$2:I3,I$2:I3,0,0,-1)=C3,0,IF(AND(H3&lt;&gt;"0",H3&lt;Resumen!$B$3,_xlfn.XLOOKUP(C3,C$2:C972,L$2:L972,,0,1)&lt;&gt;0),G3*K3,IFERROR(IF(_xlfn.XLOOKUP(C3,C4:C$34,L4:L$34,,0,1)&lt;0,IF(L3&gt;_xlfn.XLOOKUP(C3,C4:C$34,L4:L$34,,0,1),D3*_xlfn.XLOOKUP(C3,C4:C$34,Q4:Q$34,,0,1)+G3*K3,0),IF(_xlfn.XLOOKUP(C3,C4:C$34,L4:L$34,,0,1)&gt;0,IF(L3&lt;_xlfn.XLOOKUP(C3,C4:C$34,L4:L$34,,0,1),+G3*K3-_xlfn.XLOOKUP(C3,C4:C$34,Q4:Q$34,,0,1)*-D3*MAX(1,P3/_xlfn.XLOOKUP(C3,C4:C$34,O4:O$34,P3,0,1)),0),0)),0)))</f>
        <v>0</v>
      </c>
      <c r="S3" s="56" t="str" cm="1">
        <f t="array" ref="S3">IF(AND(H3&lt;&gt;"0",R3&lt;&gt;0),1,IF(R3=0,"-",IF(D3&lt;0, _xlfn.LET(_xlpm.v_cant, ABS(D3), _xlpm.v_fecha, A3, _xlpm.v_ticker, C3, _xlpm.rango_f, A4:A$1000, _xlpm.rango_t, D4:D$1000, _xlpm.filtro, C4:C$1000=_xlpm.v_ticker, _xlpm.c_fechas, _xlfn._xlws.FILTER(_xlpm.rango_f, _xlpm.filtro*(_xlpm.rango_t&gt;0), _xlpm.v_fecha), _xlpm.c_cants, _xlfn._xlws.FILTER(_xlpm.rango_t, _xlpm.filtro*(_xlpm.rango_t&gt;0), 0), _xlpm.v_acums_pasadas, ABS(SUMIFS(D4:D$1000, C4:C$1000, _xlpm.v_ticker, D4:D$1000,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4" spans="1:19" x14ac:dyDescent="0.45">
      <c r="A4" s="12">
        <v>46149</v>
      </c>
      <c r="B4" s="3" t="s">
        <v>222</v>
      </c>
      <c r="C4" s="3" t="s">
        <v>227</v>
      </c>
      <c r="D4" s="3">
        <v>-1</v>
      </c>
      <c r="E4" s="3">
        <v>12.99</v>
      </c>
      <c r="F4" s="3">
        <v>-1.0807994000000001</v>
      </c>
      <c r="G4" s="3">
        <v>1297.9192006000001</v>
      </c>
      <c r="H4" s="14">
        <f t="shared" si="0"/>
        <v>46178</v>
      </c>
      <c r="I4" s="60" t="str" cm="1">
        <f t="array" ref="I4">IF(MID(C4,13,1)="C","Call",IF(MID(C4,13,1)="P","Put",IF(D4&gt;0,_xlfn._xlws.FILTER(C5:C$100,(ISNUMBER(SEARCH(C4,C5:C$100)))*(J5:J$100=E4)*((($B4="assignment")*(I5:I$100="put")*(D5:D$100&lt;0))+(($B4="exercise")*(I5:I$100="call")*(D5:D$100&gt;0)))*(H5:H$100=_xlfn.MINIFS(H5:H$100,C5:C$100,"*"&amp;C4&amp;"*",J5:J$100,E4,I5:I$100,IF(B4="assignment","put","call"),D5:D$100,IF(B4="assignment","&lt;0","&gt;0"),H5:H$100,"&gt;="&amp;A4)),""),"")))</f>
        <v>Call</v>
      </c>
      <c r="J4" s="9">
        <f t="shared" si="1"/>
        <v>105</v>
      </c>
      <c r="K4" s="9">
        <v>17.239999999999998</v>
      </c>
      <c r="L4" s="5">
        <f>SUMIF(C4:C$33,C4,D4:D$33)</f>
        <v>-1</v>
      </c>
      <c r="M4" s="10" cm="1">
        <f t="array" ref="M4">IF(L4&gt;0,IF(L4&gt;_xlfn.XLOOKUP(C4,C5:C$34,L5:L$34,0,0,1),(_xlfn.XLOOKUP(C4,C5:C$34,M5:M$34,0,0,1)*_xlfn.XLOOKUP(C4,C5:C$34,L5:L$34,0,0,1)-G4*K4+_xlfn.XLOOKUP(I4,C5:C$34,M5:M$34,0,0,1)*_xlfn.XLOOKUP(I4,C5:C$34,L5:L$34,0,0,1)/D4*100)/L4,_xlfn.XLOOKUP(C4,C5:C$34,M5:M$34,0,0,1)),IF(L4&lt;0,IF(L4&lt;_xlfn.XLOOKUP(C4,C5:C$34,L5:L$34,0,0,1),(_xlfn.XLOOKUP(C4,C5:C$34,M5:M$34,0,0,1)*_xlfn.XLOOKUP(C4,C5:C$34,L5:L$34,0,0,1)-G4*K4)/L4,_xlfn.XLOOKUP(C4,C5:C$34,M5:M$34,0,0,1)),0))</f>
        <v>22376.127018343999</v>
      </c>
      <c r="N4" s="10" cm="1">
        <f t="array" ref="N4">IF(_xlfn.XLOOKUP(C4,I$2:I4,I$2:I4,0,0,-1)=C4,0,IF(AND(H4&lt;&gt;"0",H4&lt;Resumen!$B$3,_xlfn.XLOOKUP(C4,C$2:C973,L$2:L973,,0,1)&lt;&gt;0),G4*K4,IFERROR(IF(_xlfn.XLOOKUP(C4,C5:C$34,L5:L$34,,0,1)&lt;0,IF(L4&gt;_xlfn.XLOOKUP(C4,C5:C$34,L5:L$34,,0,1),D4*_xlfn.XLOOKUP(C4,C5:C$34,M5:M$34,,0,1)+G4*K4,0),IF(_xlfn.XLOOKUP(C4,C5:C$34,L5:L$34,,0,1)&gt;0,IF(L4&lt;_xlfn.XLOOKUP(C4,C5:C$34,L5:L$34,,0,1),G4*K4-_xlfn.XLOOKUP(C4,C5:C$34,M5:M$34,,0,1)*-D4,0),0)),0)))</f>
        <v>0</v>
      </c>
      <c r="O4" s="56">
        <v>145.52699999999999</v>
      </c>
      <c r="P4" s="56">
        <v>145.83099999999999</v>
      </c>
      <c r="Q4" s="10" cm="1">
        <f t="array" ref="Q4">IF(L4&gt;0,IF(L4&gt;_xlfn.XLOOKUP(C4,C5:C$34,L5:L$34,0,0,1),(_xlfn.XLOOKUP(C4,C5:C$34,Q5:Q$34,0,0,1)*MAX(1,O4/_xlfn.XLOOKUP(C4,C5:C$1000,O5:O$1000,O4,0,1))*_xlfn.XLOOKUP(C4,C5:C$1000,L5:L$1000,0,0,1)+IF(_xlfn.XLOOKUP(I4,C5:C$34,I5:I$34,0,0,1)="put",-_xlfn.XLOOKUP(I4,C5:C$34,Q5:Q$34,0,0,1)*D4/100,_xlfn.XLOOKUP(I4,C5:C$34,Q5:Q$34,0,0,1)*D4/100)-G4*K4)/L4,_xlfn.XLOOKUP(C4,C5:C$34,Q5:Q$34,,0,1)*MAX(1,O4/_xlfn.XLOOKUP(C4,C5:C$1000,O5:O$1000,O4,0,1))),IF(L4&lt;0,IF(L4&lt;_xlfn.XLOOKUP(C4,C5:C$34,L5:L$34,0,0,1),(_xlfn.XLOOKUP(C4,C5:C$34,Q5:Q$34,0,0,1)-G4*K4)/L4,_xlfn.XLOOKUP(C4,C5:C$34,Q5:Q$34,,0,1)),0))</f>
        <v>22376.127018343999</v>
      </c>
      <c r="R4" s="59" cm="1">
        <f t="array" ref="R4">IF(_xlfn.XLOOKUP(C4,I$2:I4,I$2:I4,0,0,-1)=C4,0,IF(AND(H4&lt;&gt;"0",H4&lt;Resumen!$B$3,_xlfn.XLOOKUP(C4,C$2:C973,L$2:L973,,0,1)&lt;&gt;0),G4*K4,IFERROR(IF(_xlfn.XLOOKUP(C4,C5:C$34,L5:L$34,,0,1)&lt;0,IF(L4&gt;_xlfn.XLOOKUP(C4,C5:C$34,L5:L$34,,0,1),D4*_xlfn.XLOOKUP(C4,C5:C$34,Q5:Q$34,,0,1)+G4*K4,0),IF(_xlfn.XLOOKUP(C4,C5:C$34,L5:L$34,,0,1)&gt;0,IF(L4&lt;_xlfn.XLOOKUP(C4,C5:C$34,L5:L$34,,0,1),+G4*K4-_xlfn.XLOOKUP(C4,C5:C$34,Q5:Q$34,,0,1)*-D4*MAX(1,P4/_xlfn.XLOOKUP(C4,C5:C$34,O5:O$34,P4,0,1)),0),0)),0)))</f>
        <v>0</v>
      </c>
      <c r="S4" s="56" t="str" cm="1">
        <f t="array" ref="S4">IF(AND(H4&lt;&gt;"0",R4&lt;&gt;0),1,IF(R4=0,"-",IF(D4&lt;0, _xlfn.LET(_xlpm.v_cant, ABS(D4), _xlpm.v_fecha, A4, _xlpm.v_ticker, C4, _xlpm.rango_f, A5:A$1000, _xlpm.rango_t, D5:D$1000, _xlpm.filtro, C5:C$1000=_xlpm.v_ticker, _xlpm.c_fechas, _xlfn._xlws.FILTER(_xlpm.rango_f, _xlpm.filtro*(_xlpm.rango_t&gt;0), _xlpm.v_fecha), _xlpm.c_cants, _xlfn._xlws.FILTER(_xlpm.rango_t, _xlpm.filtro*(_xlpm.rango_t&gt;0), 0), _xlpm.v_acums_pasadas, ABS(SUMIFS(D5:D$1000, C5:C$1000, _xlpm.v_ticker, D5:D$1000,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5" spans="1:19" x14ac:dyDescent="0.45">
      <c r="A5" s="12">
        <v>46149</v>
      </c>
      <c r="B5" s="3" t="s">
        <v>224</v>
      </c>
      <c r="C5" s="3" t="s">
        <v>229</v>
      </c>
      <c r="D5" s="3">
        <v>1</v>
      </c>
      <c r="E5" s="3">
        <v>8.34</v>
      </c>
      <c r="F5" s="3">
        <v>-1.0507500000000001</v>
      </c>
      <c r="G5" s="3">
        <v>-835.05074999999999</v>
      </c>
      <c r="H5" s="14">
        <f t="shared" si="0"/>
        <v>46178</v>
      </c>
      <c r="I5" s="60" t="str" cm="1">
        <f t="array" ref="I5">IF(MID(C5,13,1)="C","Call",IF(MID(C5,13,1)="P","Put",IF(D5&gt;0,_xlfn._xlws.FILTER(C6:C$100,(ISNUMBER(SEARCH(C5,C6:C$100)))*(J6:J$100=E5)*((($B5="assignment")*(I6:I$100="put")*(D6:D$100&lt;0))+(($B5="exercise")*(I6:I$100="call")*(D6:D$100&gt;0)))*(H6:H$100=_xlfn.MINIFS(H6:H$100,C6:C$100,"*"&amp;C5&amp;"*",J6:J$100,E5,I6:I$100,IF(B5="assignment","put","call"),D6:D$100,IF(B5="assignment","&lt;0","&gt;0"),H6:H$100,"&gt;="&amp;A5)),""),"")))</f>
        <v>Call</v>
      </c>
      <c r="J5" s="9">
        <f t="shared" si="1"/>
        <v>115</v>
      </c>
      <c r="K5" s="9">
        <v>17.239999999999998</v>
      </c>
      <c r="L5" s="5">
        <f>SUMIF(C5:C$33,C5,D5:D$33)</f>
        <v>1</v>
      </c>
      <c r="M5" s="10" cm="1">
        <f t="array" ref="M5">IF(L5&gt;0,IF(L5&gt;_xlfn.XLOOKUP(C5,C6:C$34,L6:L$34,0,0,1),(_xlfn.XLOOKUP(C5,C6:C$34,M6:M$34,0,0,1)*_xlfn.XLOOKUP(C5,C6:C$34,L6:L$34,0,0,1)-G5*K5+_xlfn.XLOOKUP(I5,C6:C$34,M6:M$34,0,0,1)*_xlfn.XLOOKUP(I5,C6:C$34,L6:L$34,0,0,1)/D5*100)/L5,_xlfn.XLOOKUP(C5,C6:C$34,M6:M$34,0,0,1)),IF(L5&lt;0,IF(L5&lt;_xlfn.XLOOKUP(C5,C6:C$34,L6:L$34,0,0,1),(_xlfn.XLOOKUP(C5,C6:C$34,M6:M$34,0,0,1)*_xlfn.XLOOKUP(C5,C6:C$34,L6:L$34,0,0,1)-G5*K5)/L5,_xlfn.XLOOKUP(C5,C6:C$34,M6:M$34,0,0,1)),0))</f>
        <v>14396.274929999998</v>
      </c>
      <c r="N5" s="10" cm="1">
        <f t="array" ref="N5">IF(_xlfn.XLOOKUP(C5,I$2:I5,I$2:I5,0,0,-1)=C5,0,IF(AND(H5&lt;&gt;"0",H5&lt;Resumen!$B$3,_xlfn.XLOOKUP(C5,C$2:C974,L$2:L974,,0,1)&lt;&gt;0),G5*K5,IFERROR(IF(_xlfn.XLOOKUP(C5,C6:C$34,L6:L$34,,0,1)&lt;0,IF(L5&gt;_xlfn.XLOOKUP(C5,C6:C$34,L6:L$34,,0,1),D5*_xlfn.XLOOKUP(C5,C6:C$34,M6:M$34,,0,1)+G5*K5,0),IF(_xlfn.XLOOKUP(C5,C6:C$34,L6:L$34,,0,1)&gt;0,IF(L5&lt;_xlfn.XLOOKUP(C5,C6:C$34,L6:L$34,,0,1),G5*K5-_xlfn.XLOOKUP(C5,C6:C$34,M6:M$34,,0,1)*-D5,0),0)),0)))</f>
        <v>0</v>
      </c>
      <c r="O5" s="56">
        <v>145.52699999999999</v>
      </c>
      <c r="P5" s="56">
        <v>145.83099999999999</v>
      </c>
      <c r="Q5" s="10" cm="1">
        <f t="array" ref="Q5">IF(L5&gt;0,IF(L5&gt;_xlfn.XLOOKUP(C5,C6:C$34,L6:L$34,0,0,1),(_xlfn.XLOOKUP(C5,C6:C$34,Q6:Q$34,0,0,1)*MAX(1,O5/_xlfn.XLOOKUP(C5,C6:C$1000,O6:O$1000,O5,0,1))*_xlfn.XLOOKUP(C5,C6:C$1000,L6:L$1000,0,0,1)+IF(_xlfn.XLOOKUP(I5,C6:C$34,I6:I$34,0,0,1)="put",-_xlfn.XLOOKUP(I5,C6:C$34,Q6:Q$34,0,0,1)*D5/100,_xlfn.XLOOKUP(I5,C6:C$34,Q6:Q$34,0,0,1)*D5/100)-G5*K5)/L5,_xlfn.XLOOKUP(C5,C6:C$34,Q6:Q$34,,0,1)*MAX(1,O5/_xlfn.XLOOKUP(C5,C6:C$1000,O6:O$1000,O5,0,1))),IF(L5&lt;0,IF(L5&lt;_xlfn.XLOOKUP(C5,C6:C$34,L6:L$34,0,0,1),(_xlfn.XLOOKUP(C5,C6:C$34,Q6:Q$34,0,0,1)-G5*K5)/L5,_xlfn.XLOOKUP(C5,C6:C$34,Q6:Q$34,,0,1)),0))</f>
        <v>14396.274929999998</v>
      </c>
      <c r="R5" s="59" cm="1">
        <f t="array" ref="R5">IF(_xlfn.XLOOKUP(C5,I$2:I5,I$2:I5,0,0,-1)=C5,0,IF(AND(H5&lt;&gt;"0",H5&lt;Resumen!$B$3,_xlfn.XLOOKUP(C5,C$2:C974,L$2:L974,,0,1)&lt;&gt;0),G5*K5,IFERROR(IF(_xlfn.XLOOKUP(C5,C6:C$34,L6:L$34,,0,1)&lt;0,IF(L5&gt;_xlfn.XLOOKUP(C5,C6:C$34,L6:L$34,,0,1),D5*_xlfn.XLOOKUP(C5,C6:C$34,Q6:Q$34,,0,1)+G5*K5,0),IF(_xlfn.XLOOKUP(C5,C6:C$34,L6:L$34,,0,1)&gt;0,IF(L5&lt;_xlfn.XLOOKUP(C5,C6:C$34,L6:L$34,,0,1),+G5*K5-_xlfn.XLOOKUP(C5,C6:C$34,Q6:Q$34,,0,1)*-D5*MAX(1,P5/_xlfn.XLOOKUP(C5,C6:C$34,O6:O$34,P5,0,1)),0),0)),0)))</f>
        <v>0</v>
      </c>
      <c r="S5" s="56" t="str" cm="1">
        <f t="array" ref="S5">IF(AND(H5&lt;&gt;"0",R5&lt;&gt;0),1,IF(R5=0,"-",IF(D5&lt;0, _xlfn.LET(_xlpm.v_cant, ABS(D5), _xlpm.v_fecha, A5, _xlpm.v_ticker, C5, _xlpm.rango_f, A6:A$1000, _xlpm.rango_t, D6:D$1000, _xlpm.filtro, C6:C$1000=_xlpm.v_ticker, _xlpm.c_fechas, _xlfn._xlws.FILTER(_xlpm.rango_f, _xlpm.filtro*(_xlpm.rango_t&gt;0), _xlpm.v_fecha), _xlpm.c_cants, _xlfn._xlws.FILTER(_xlpm.rango_t, _xlpm.filtro*(_xlpm.rango_t&gt;0), 0), _xlpm.v_acums_pasadas, ABS(SUMIFS(D6:D$1000, C6:C$1000, _xlpm.v_ticker, D6:D$1000,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6" spans="1:19" x14ac:dyDescent="0.45">
      <c r="A6" s="12">
        <v>46146</v>
      </c>
      <c r="B6" s="3" t="s">
        <v>224</v>
      </c>
      <c r="C6" s="3" t="s">
        <v>231</v>
      </c>
      <c r="D6" s="3">
        <v>1</v>
      </c>
      <c r="E6" s="3">
        <v>2.13</v>
      </c>
      <c r="F6" s="3">
        <v>-0.69825000000000004</v>
      </c>
      <c r="G6" s="3">
        <v>-213.69825</v>
      </c>
      <c r="H6" s="14">
        <f t="shared" si="0"/>
        <v>46311</v>
      </c>
      <c r="I6" s="60" t="str" cm="1">
        <f t="array" ref="I6">IF(MID(C6,13,1)="C","Call",IF(MID(C6,13,1)="P","Put",IF(D6&gt;0,_xlfn._xlws.FILTER(C7:C$100,(ISNUMBER(SEARCH(C6,C7:C$100)))*(J7:J$100=E6)*((($B6="assignment")*(I7:I$100="put")*(D7:D$100&lt;0))+(($B6="exercise")*(I7:I$100="call")*(D7:D$100&gt;0)))*(H7:H$100=_xlfn.MINIFS(H7:H$100,C7:C$100,"*"&amp;C6&amp;"*",J7:J$100,E6,I7:I$100,IF(B6="assignment","put","call"),D7:D$100,IF(B6="assignment","&lt;0","&gt;0"),H7:H$100,"&gt;="&amp;A6)),""),"")))</f>
        <v>Call</v>
      </c>
      <c r="J6" s="9">
        <f t="shared" si="1"/>
        <v>18</v>
      </c>
      <c r="K6" s="9">
        <v>17.515699999999999</v>
      </c>
      <c r="L6" s="5">
        <f>SUMIF(C6:C$33,C6,D6:D$33)</f>
        <v>1</v>
      </c>
      <c r="M6" s="10" cm="1">
        <f t="array" ref="M6">IF(L6&gt;0,IF(L6&gt;_xlfn.XLOOKUP(C6,C7:C$34,L7:L$34,0,0,1),(_xlfn.XLOOKUP(C6,C7:C$34,M7:M$34,0,0,1)*_xlfn.XLOOKUP(C6,C7:C$34,L7:L$34,0,0,1)-G6*K6+_xlfn.XLOOKUP(I6,C7:C$34,M7:M$34,0,0,1)*_xlfn.XLOOKUP(I6,C7:C$34,L7:L$34,0,0,1)/D6*100)/L6,_xlfn.XLOOKUP(C6,C7:C$34,M7:M$34,0,0,1)),IF(L6&lt;0,IF(L6&lt;_xlfn.XLOOKUP(C6,C7:C$34,L7:L$34,0,0,1),(_xlfn.XLOOKUP(C6,C7:C$34,M7:M$34,0,0,1)*_xlfn.XLOOKUP(C6,C7:C$34,L7:L$34,0,0,1)-G6*K6)/L6,_xlfn.XLOOKUP(C6,C7:C$34,M7:M$34,0,0,1)),0))</f>
        <v>3743.0744375249997</v>
      </c>
      <c r="N6" s="10" cm="1">
        <f t="array" ref="N6">IF(_xlfn.XLOOKUP(C6,I$2:I6,I$2:I6,0,0,-1)=C6,0,IF(AND(H6&lt;&gt;"0",H6&lt;Resumen!$B$3,_xlfn.XLOOKUP(C6,C$2:C975,L$2:L975,,0,1)&lt;&gt;0),G6*K6,IFERROR(IF(_xlfn.XLOOKUP(C6,C7:C$34,L7:L$34,,0,1)&lt;0,IF(L6&gt;_xlfn.XLOOKUP(C6,C7:C$34,L7:L$34,,0,1),D6*_xlfn.XLOOKUP(C6,C7:C$34,M7:M$34,,0,1)+G6*K6,0),IF(_xlfn.XLOOKUP(C6,C7:C$34,L7:L$34,,0,1)&gt;0,IF(L6&lt;_xlfn.XLOOKUP(C6,C7:C$34,L7:L$34,,0,1),G6*K6-_xlfn.XLOOKUP(C6,C7:C$34,M7:M$34,,0,1)*-D6,0),0)),0)))</f>
        <v>0</v>
      </c>
      <c r="O6" s="56">
        <v>145.52699999999999</v>
      </c>
      <c r="P6" s="56">
        <v>145.83099999999999</v>
      </c>
      <c r="Q6" s="10" cm="1">
        <f t="array" ref="Q6">IF(L6&gt;0,IF(L6&gt;_xlfn.XLOOKUP(C6,C7:C$34,L7:L$34,0,0,1),(_xlfn.XLOOKUP(C6,C7:C$34,Q7:Q$34,0,0,1)*MAX(1,O6/_xlfn.XLOOKUP(C6,C7:C$1000,O7:O$1000,O6,0,1))*_xlfn.XLOOKUP(C6,C7:C$1000,L7:L$1000,0,0,1)+IF(_xlfn.XLOOKUP(I6,C7:C$34,I7:I$34,0,0,1)="put",-_xlfn.XLOOKUP(I6,C7:C$34,Q7:Q$34,0,0,1)*D6/100,_xlfn.XLOOKUP(I6,C7:C$34,Q7:Q$34,0,0,1)*D6/100)-G6*K6)/L6,_xlfn.XLOOKUP(C6,C7:C$34,Q7:Q$34,,0,1)*MAX(1,O6/_xlfn.XLOOKUP(C6,C7:C$1000,O7:O$1000,O6,0,1))),IF(L6&lt;0,IF(L6&lt;_xlfn.XLOOKUP(C6,C7:C$34,L7:L$34,0,0,1),(_xlfn.XLOOKUP(C6,C7:C$34,Q7:Q$34,0,0,1)-G6*K6)/L6,_xlfn.XLOOKUP(C6,C7:C$34,Q7:Q$34,,0,1)),0))</f>
        <v>3743.0744375249997</v>
      </c>
      <c r="R6" s="59" cm="1">
        <f t="array" ref="R6">IF(_xlfn.XLOOKUP(C6,I$2:I6,I$2:I6,0,0,-1)=C6,0,IF(AND(H6&lt;&gt;"0",H6&lt;Resumen!$B$3,_xlfn.XLOOKUP(C6,C$2:C975,L$2:L975,,0,1)&lt;&gt;0),G6*K6,IFERROR(IF(_xlfn.XLOOKUP(C6,C7:C$34,L7:L$34,,0,1)&lt;0,IF(L6&gt;_xlfn.XLOOKUP(C6,C7:C$34,L7:L$34,,0,1),D6*_xlfn.XLOOKUP(C6,C7:C$34,Q7:Q$34,,0,1)+G6*K6,0),IF(_xlfn.XLOOKUP(C6,C7:C$34,L7:L$34,,0,1)&gt;0,IF(L6&lt;_xlfn.XLOOKUP(C6,C7:C$34,L7:L$34,,0,1),+G6*K6-_xlfn.XLOOKUP(C6,C7:C$34,Q7:Q$34,,0,1)*-D6*MAX(1,P6/_xlfn.XLOOKUP(C6,C7:C$34,O7:O$34,P6,0,1)),0),0)),0)))</f>
        <v>0</v>
      </c>
      <c r="S6" s="56" t="str" cm="1">
        <f t="array" ref="S6">IF(AND(H6&lt;&gt;"0",R6&lt;&gt;0),1,IF(R6=0,"-",IF(D6&lt;0, _xlfn.LET(_xlpm.v_cant, ABS(D6), _xlpm.v_fecha, A6, _xlpm.v_ticker, C6, _xlpm.rango_f, A7:A$1000, _xlpm.rango_t, D7:D$1000, _xlpm.filtro, C7:C$1000=_xlpm.v_ticker, _xlpm.c_fechas, _xlfn._xlws.FILTER(_xlpm.rango_f, _xlpm.filtro*(_xlpm.rango_t&gt;0), _xlpm.v_fecha), _xlpm.c_cants, _xlfn._xlws.FILTER(_xlpm.rango_t, _xlpm.filtro*(_xlpm.rango_t&gt;0), 0), _xlpm.v_acums_pasadas, ABS(SUMIFS(D7:D$1000, C7:C$1000, _xlpm.v_ticker, D7:D$1000,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7" spans="1:19" x14ac:dyDescent="0.45">
      <c r="A7" s="12">
        <v>46146</v>
      </c>
      <c r="B7" s="3" t="s">
        <v>222</v>
      </c>
      <c r="C7" s="3" t="s">
        <v>233</v>
      </c>
      <c r="D7" s="3">
        <v>-1</v>
      </c>
      <c r="E7" s="3">
        <v>2.88</v>
      </c>
      <c r="F7" s="3">
        <v>-0.70747280000000001</v>
      </c>
      <c r="G7" s="3">
        <v>287.29252719999999</v>
      </c>
      <c r="H7" s="14">
        <f t="shared" si="0"/>
        <v>46311</v>
      </c>
      <c r="I7" s="60" t="str" cm="1">
        <f t="array" ref="I7">IF(MID(C7,13,1)="C","Call",IF(MID(C7,13,1)="P","Put",IF(D7&gt;0,_xlfn._xlws.FILTER(C8:C$100,(ISNUMBER(SEARCH(C7,C8:C$100)))*(J8:J$100=E7)*((($B7="assignment")*(I8:I$100="put")*(D8:D$100&lt;0))+(($B7="exercise")*(I8:I$100="call")*(D8:D$100&gt;0)))*(H8:H$100=_xlfn.MINIFS(H8:H$100,C8:C$100,"*"&amp;C7&amp;"*",J8:J$100,E7,I8:I$100,IF(B7="assignment","put","call"),D8:D$100,IF(B7="assignment","&lt;0","&gt;0"),H8:H$100,"&gt;="&amp;A7)),""),"")))</f>
        <v>Put</v>
      </c>
      <c r="J7" s="9">
        <f t="shared" si="1"/>
        <v>17</v>
      </c>
      <c r="K7" s="9">
        <v>17.515699999999999</v>
      </c>
      <c r="L7" s="5">
        <f>SUMIF(C7:C$33,C7,D7:D$33)</f>
        <v>-1</v>
      </c>
      <c r="M7" s="10" cm="1">
        <f t="array" ref="M7">IF(L7&gt;0,IF(L7&gt;_xlfn.XLOOKUP(C7,C8:C$34,L8:L$34,0,0,1),(_xlfn.XLOOKUP(C7,C8:C$34,M8:M$34,0,0,1)*_xlfn.XLOOKUP(C7,C8:C$34,L8:L$34,0,0,1)-G7*K7+_xlfn.XLOOKUP(I7,C8:C$34,M8:M$34,0,0,1)*_xlfn.XLOOKUP(I7,C8:C$34,L8:L$34,0,0,1)/D7*100)/L7,_xlfn.XLOOKUP(C7,C8:C$34,M8:M$34,0,0,1)),IF(L7&lt;0,IF(L7&lt;_xlfn.XLOOKUP(C7,C8:C$34,L8:L$34,0,0,1),(_xlfn.XLOOKUP(C7,C8:C$34,M8:M$34,0,0,1)*_xlfn.XLOOKUP(C7,C8:C$34,L8:L$34,0,0,1)-G7*K7)/L7,_xlfn.XLOOKUP(C7,C8:C$34,M8:M$34,0,0,1)),0))</f>
        <v>5032.1297186770398</v>
      </c>
      <c r="N7" s="10" cm="1">
        <f t="array" ref="N7">IF(_xlfn.XLOOKUP(C7,I$2:I7,I$2:I7,0,0,-1)=C7,0,IF(AND(H7&lt;&gt;"0",H7&lt;Resumen!$B$3,_xlfn.XLOOKUP(C7,C$2:C976,L$2:L976,,0,1)&lt;&gt;0),G7*K7,IFERROR(IF(_xlfn.XLOOKUP(C7,C8:C$34,L8:L$34,,0,1)&lt;0,IF(L7&gt;_xlfn.XLOOKUP(C7,C8:C$34,L8:L$34,,0,1),D7*_xlfn.XLOOKUP(C7,C8:C$34,M8:M$34,,0,1)+G7*K7,0),IF(_xlfn.XLOOKUP(C7,C8:C$34,L8:L$34,,0,1)&gt;0,IF(L7&lt;_xlfn.XLOOKUP(C7,C8:C$34,L8:L$34,,0,1),G7*K7-_xlfn.XLOOKUP(C7,C8:C$34,M8:M$34,,0,1)*-D7,0),0)),0)))</f>
        <v>0</v>
      </c>
      <c r="O7" s="56">
        <v>145.52699999999999</v>
      </c>
      <c r="P7" s="56">
        <v>145.83099999999999</v>
      </c>
      <c r="Q7" s="10" cm="1">
        <f t="array" ref="Q7">IF(L7&gt;0,IF(L7&gt;_xlfn.XLOOKUP(C7,C8:C$34,L8:L$34,0,0,1),(_xlfn.XLOOKUP(C7,C8:C$34,Q8:Q$34,0,0,1)*MAX(1,O7/_xlfn.XLOOKUP(C7,C8:C$1000,O8:O$1000,O7,0,1))*_xlfn.XLOOKUP(C7,C8:C$1000,L8:L$1000,0,0,1)+IF(_xlfn.XLOOKUP(I7,C8:C$34,I8:I$34,0,0,1)="put",-_xlfn.XLOOKUP(I7,C8:C$34,Q8:Q$34,0,0,1)*D7/100,_xlfn.XLOOKUP(I7,C8:C$34,Q8:Q$34,0,0,1)*D7/100)-G7*K7)/L7,_xlfn.XLOOKUP(C7,C8:C$34,Q8:Q$34,,0,1)*MAX(1,O7/_xlfn.XLOOKUP(C7,C8:C$1000,O8:O$1000,O7,0,1))),IF(L7&lt;0,IF(L7&lt;_xlfn.XLOOKUP(C7,C8:C$34,L8:L$34,0,0,1),(_xlfn.XLOOKUP(C7,C8:C$34,Q8:Q$34,0,0,1)-G7*K7)/L7,_xlfn.XLOOKUP(C7,C8:C$34,Q8:Q$34,,0,1)),0))</f>
        <v>5032.1297186770398</v>
      </c>
      <c r="R7" s="59" cm="1">
        <f t="array" ref="R7">IF(_xlfn.XLOOKUP(C7,I$2:I7,I$2:I7,0,0,-1)=C7,0,IF(AND(H7&lt;&gt;"0",H7&lt;Resumen!$B$3,_xlfn.XLOOKUP(C7,C$2:C976,L$2:L976,,0,1)&lt;&gt;0),G7*K7,IFERROR(IF(_xlfn.XLOOKUP(C7,C8:C$34,L8:L$34,,0,1)&lt;0,IF(L7&gt;_xlfn.XLOOKUP(C7,C8:C$34,L8:L$34,,0,1),D7*_xlfn.XLOOKUP(C7,C8:C$34,Q8:Q$34,,0,1)+G7*K7,0),IF(_xlfn.XLOOKUP(C7,C8:C$34,L8:L$34,,0,1)&gt;0,IF(L7&lt;_xlfn.XLOOKUP(C7,C8:C$34,L8:L$34,,0,1),+G7*K7-_xlfn.XLOOKUP(C7,C8:C$34,Q8:Q$34,,0,1)*-D7*MAX(1,P7/_xlfn.XLOOKUP(C7,C8:C$34,O8:O$34,P7,0,1)),0),0)),0)))</f>
        <v>0</v>
      </c>
      <c r="S7" s="56" t="str" cm="1">
        <f t="array" ref="S7">IF(AND(H7&lt;&gt;"0",R7&lt;&gt;0),1,IF(R7=0,"-",IF(D7&lt;0, _xlfn.LET(_xlpm.v_cant, ABS(D7), _xlpm.v_fecha, A7, _xlpm.v_ticker, C7, _xlpm.rango_f, A8:A$1000, _xlpm.rango_t, D8:D$1000, _xlpm.filtro, C8:C$1000=_xlpm.v_ticker, _xlpm.c_fechas, _xlfn._xlws.FILTER(_xlpm.rango_f, _xlpm.filtro*(_xlpm.rango_t&gt;0), _xlpm.v_fecha), _xlpm.c_cants, _xlfn._xlws.FILTER(_xlpm.rango_t, _xlpm.filtro*(_xlpm.rango_t&gt;0), 0), _xlpm.v_acums_pasadas, ABS(SUMIFS(D8:D$1000, C8:C$1000, _xlpm.v_ticker, D8:D$1000,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8" spans="1:19" x14ac:dyDescent="0.45">
      <c r="A8" s="12">
        <v>46140</v>
      </c>
      <c r="B8" s="3" t="s">
        <v>224</v>
      </c>
      <c r="C8" s="3" t="s">
        <v>225</v>
      </c>
      <c r="D8" s="3">
        <v>50</v>
      </c>
      <c r="E8" s="3">
        <v>1.046</v>
      </c>
      <c r="F8" s="3">
        <v>-4</v>
      </c>
      <c r="G8" s="3">
        <v>-56.3</v>
      </c>
      <c r="H8" s="14" t="str">
        <f t="shared" si="0"/>
        <v>0</v>
      </c>
      <c r="I8" s="60" t="str" cm="1">
        <f t="array" ref="I8">IF(MID(C8,13,1)="C","Call",IF(MID(C8,13,1)="P","Put",IF(D8&gt;0,_xlfn._xlws.FILTER(C9:C$100,(ISNUMBER(SEARCH(C8,C9:C$100)))*(J9:J$100=E8)*((($B8="assignment")*(I9:I$100="put")*(D9:D$100&lt;0))+(($B8="exercise")*(I9:I$100="call")*(D9:D$100&gt;0)))*(H9:H$100=_xlfn.MINIFS(H9:H$100,C9:C$100,"*"&amp;C8&amp;"*",J9:J$100,E8,I9:I$100,IF(B8="assignment","put","call"),D9:D$100,IF(B8="assignment","&lt;0","&gt;0"),H9:H$100,"&gt;="&amp;A8)),""),"")))</f>
        <v/>
      </c>
      <c r="J8" s="9">
        <f t="shared" si="1"/>
        <v>0</v>
      </c>
      <c r="K8" s="9">
        <v>17.402999999999999</v>
      </c>
      <c r="L8" s="5">
        <f>SUMIF(C8:C$33,C8,D8:D$33)</f>
        <v>50</v>
      </c>
      <c r="M8" s="10" cm="1">
        <f t="array" ref="M8">IF(L8&gt;0,IF(L8&gt;_xlfn.XLOOKUP(C8,C9:C$34,L9:L$34,0,0,1),(_xlfn.XLOOKUP(C8,C9:C$34,M9:M$34,0,0,1)*_xlfn.XLOOKUP(C8,C9:C$34,L9:L$34,0,0,1)-G8*K8+_xlfn.XLOOKUP(I8,C9:C$34,M9:M$34,0,0,1)*_xlfn.XLOOKUP(I8,C9:C$34,L9:L$34,0,0,1)/D8*100)/L8,_xlfn.XLOOKUP(C8,C9:C$34,M9:M$34,0,0,1)),IF(L8&lt;0,IF(L8&lt;_xlfn.XLOOKUP(C8,C9:C$34,L9:L$34,0,0,1),(_xlfn.XLOOKUP(C8,C9:C$34,M9:M$34,0,0,1)*_xlfn.XLOOKUP(C8,C9:C$34,L9:L$34,0,0,1)-G8*K8)/L8,_xlfn.XLOOKUP(C8,C9:C$34,M9:M$34,0,0,1)),0))</f>
        <v>19.595777999999999</v>
      </c>
      <c r="N8" s="10" cm="1">
        <f t="array" ref="N8">IF(_xlfn.XLOOKUP(C8,I$2:I8,I$2:I8,0,0,-1)=C8,0,IF(AND(H8&lt;&gt;"0",H8&lt;Resumen!$B$3,_xlfn.XLOOKUP(C8,C$2:C977,L$2:L977,,0,1)&lt;&gt;0),G8*K8,IFERROR(IF(_xlfn.XLOOKUP(C8,C9:C$34,L9:L$34,,0,1)&lt;0,IF(L8&gt;_xlfn.XLOOKUP(C8,C9:C$34,L9:L$34,,0,1),D8*_xlfn.XLOOKUP(C8,C9:C$34,M9:M$34,,0,1)+G8*K8,0),IF(_xlfn.XLOOKUP(C8,C9:C$34,L9:L$34,,0,1)&gt;0,IF(L8&lt;_xlfn.XLOOKUP(C8,C9:C$34,L9:L$34,,0,1),G8*K8-_xlfn.XLOOKUP(C8,C9:C$34,M9:M$34,,0,1)*-D8,0),0)),0)))</f>
        <v>0</v>
      </c>
      <c r="O8" s="56">
        <v>145.83099999999999</v>
      </c>
      <c r="P8" s="56">
        <v>145.54400000000001</v>
      </c>
      <c r="Q8" s="10" cm="1">
        <f t="array" ref="Q8">IF(L8&gt;0,IF(L8&gt;_xlfn.XLOOKUP(C8,C9:C$34,L9:L$34,0,0,1),(_xlfn.XLOOKUP(C8,C9:C$34,Q9:Q$34,0,0,1)*MAX(1,O8/_xlfn.XLOOKUP(C8,C9:C$1000,O9:O$1000,O8,0,1))*_xlfn.XLOOKUP(C8,C9:C$1000,L9:L$1000,0,0,1)+IF(_xlfn.XLOOKUP(I8,C9:C$34,I9:I$34,0,0,1)="put",-_xlfn.XLOOKUP(I8,C9:C$34,Q9:Q$34,0,0,1)*D8/100,_xlfn.XLOOKUP(I8,C9:C$34,Q9:Q$34,0,0,1)*D8/100)-G8*K8)/L8,_xlfn.XLOOKUP(C8,C9:C$34,Q9:Q$34,,0,1)*MAX(1,O8/_xlfn.XLOOKUP(C8,C9:C$1000,O9:O$1000,O8,0,1))),IF(L8&lt;0,IF(L8&lt;_xlfn.XLOOKUP(C8,C9:C$34,L9:L$34,0,0,1),(_xlfn.XLOOKUP(C8,C9:C$34,Q9:Q$34,0,0,1)-G8*K8)/L8,_xlfn.XLOOKUP(C8,C9:C$34,Q9:Q$34,,0,1)),0))</f>
        <v>19.595777999999999</v>
      </c>
      <c r="R8" s="59" cm="1">
        <f t="array" ref="R8">IF(_xlfn.XLOOKUP(C8,I$2:I8,I$2:I8,0,0,-1)=C8,0,IF(AND(H8&lt;&gt;"0",H8&lt;Resumen!$B$3,_xlfn.XLOOKUP(C8,C$2:C977,L$2:L977,,0,1)&lt;&gt;0),G8*K8,IFERROR(IF(_xlfn.XLOOKUP(C8,C9:C$34,L9:L$34,,0,1)&lt;0,IF(L8&gt;_xlfn.XLOOKUP(C8,C9:C$34,L9:L$34,,0,1),D8*_xlfn.XLOOKUP(C8,C9:C$34,Q9:Q$34,,0,1)+G8*K8,0),IF(_xlfn.XLOOKUP(C8,C9:C$34,L9:L$34,,0,1)&gt;0,IF(L8&lt;_xlfn.XLOOKUP(C8,C9:C$34,L9:L$34,,0,1),+G8*K8-_xlfn.XLOOKUP(C8,C9:C$34,Q9:Q$34,,0,1)*-D8*MAX(1,P8/_xlfn.XLOOKUP(C8,C9:C$34,O9:O$34,P8,0,1)),0),0)),0)))</f>
        <v>0</v>
      </c>
      <c r="S8" s="56" t="str" cm="1">
        <f t="array" ref="S8">IF(AND(H8&lt;&gt;"0",R8&lt;&gt;0),1,IF(R8=0,"-",IF(D8&lt;0, _xlfn.LET(_xlpm.v_cant, ABS(D8), _xlpm.v_fecha, A8, _xlpm.v_ticker, C8, _xlpm.rango_f, A9:A$1000, _xlpm.rango_t, D9:D$1000, _xlpm.filtro, C9:C$1000=_xlpm.v_ticker, _xlpm.c_fechas, _xlfn._xlws.FILTER(_xlpm.rango_f, _xlpm.filtro*(_xlpm.rango_t&gt;0), _xlpm.v_fecha), _xlpm.c_cants, _xlfn._xlws.FILTER(_xlpm.rango_t, _xlpm.filtro*(_xlpm.rango_t&gt;0), 0), _xlpm.v_acums_pasadas, ABS(SUMIFS(D9:D$1000, C9:C$1000, _xlpm.v_ticker, D9:D$1000,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9" spans="1:19" x14ac:dyDescent="0.45">
      <c r="A9" s="12">
        <v>46129</v>
      </c>
      <c r="B9" s="3" t="s">
        <v>224</v>
      </c>
      <c r="C9" s="3" t="s">
        <v>235</v>
      </c>
      <c r="D9" s="3">
        <v>1</v>
      </c>
      <c r="E9" s="3">
        <v>3</v>
      </c>
      <c r="F9" s="3">
        <v>-1.0479499999999999</v>
      </c>
      <c r="G9" s="3">
        <v>-301.04795000000001</v>
      </c>
      <c r="H9" s="14">
        <f t="shared" si="0"/>
        <v>46129</v>
      </c>
      <c r="I9" s="60" t="str" cm="1">
        <f t="array" ref="I9">IF(MID(C9,13,1)="C","Call",IF(MID(C9,13,1)="P","Put",IF(D9&gt;0,_xlfn._xlws.FILTER(C10:C$100,(ISNUMBER(SEARCH(C9,C10:C$100)))*(J10:J$100=E9)*((($B9="assignment")*(I10:I$100="put")*(D10:D$100&lt;0))+(($B9="exercise")*(I10:I$100="call")*(D10:D$100&gt;0)))*(H10:H$100=_xlfn.MINIFS(H10:H$100,C10:C$100,"*"&amp;C9&amp;"*",J10:J$100,E9,I10:I$100,IF(B9="assignment","put","call"),D10:D$100,IF(B9="assignment","&lt;0","&gt;0"),H10:H$100,"&gt;="&amp;A9)),""),"")))</f>
        <v>Call</v>
      </c>
      <c r="J9" s="9">
        <f t="shared" si="1"/>
        <v>35</v>
      </c>
      <c r="K9" s="9">
        <v>17.244700000000002</v>
      </c>
      <c r="L9" s="5">
        <f>SUMIF(C9:C$33,C9,D9:D$33)</f>
        <v>0</v>
      </c>
      <c r="M9" s="10" cm="1">
        <f t="array" ref="M9">IF(L9&gt;0,IF(L9&gt;_xlfn.XLOOKUP(C9,C10:C$34,L10:L$34,0,0,1),(_xlfn.XLOOKUP(C9,C10:C$34,M10:M$34,0,0,1)*_xlfn.XLOOKUP(C9,C10:C$34,L10:L$34,0,0,1)-G9*K9+_xlfn.XLOOKUP(I9,C10:C$34,M10:M$34,0,0,1)*_xlfn.XLOOKUP(I9,C10:C$34,L10:L$34,0,0,1)/D9*100)/L9,_xlfn.XLOOKUP(C9,C10:C$34,M10:M$34,0,0,1)),IF(L9&lt;0,IF(L9&lt;_xlfn.XLOOKUP(C9,C10:C$34,L10:L$34,0,0,1),(_xlfn.XLOOKUP(C9,C10:C$34,M10:M$34,0,0,1)*_xlfn.XLOOKUP(C9,C10:C$34,L10:L$34,0,0,1)-G9*K9)/L9,_xlfn.XLOOKUP(C9,C10:C$34,M10:M$34,0,0,1)),0))</f>
        <v>0</v>
      </c>
      <c r="N9" s="10" cm="1">
        <f t="array" ref="N9">IF(_xlfn.XLOOKUP(C9,I$2:I9,I$2:I9,0,0,-1)=C9,0,IF(AND(H9&lt;&gt;"0",H9&lt;Resumen!$B$3,_xlfn.XLOOKUP(C9,C$2:C978,L$2:L978,,0,1)&lt;&gt;0),G9*K9,IFERROR(IF(_xlfn.XLOOKUP(C9,C10:C$34,L10:L$34,,0,1)&lt;0,IF(L9&gt;_xlfn.XLOOKUP(C9,C10:C$34,L10:L$34,,0,1),D9*_xlfn.XLOOKUP(C9,C10:C$34,M10:M$34,,0,1)+G9*K9,0),IF(_xlfn.XLOOKUP(C9,C10:C$34,L10:L$34,,0,1)&gt;0,IF(L9&lt;_xlfn.XLOOKUP(C9,C10:C$34,L10:L$34,,0,1),G9*K9-_xlfn.XLOOKUP(C9,C10:C$34,M10:M$34,,0,1)*-D9,0),0)),0)))</f>
        <v>-1232.3935055250008</v>
      </c>
      <c r="O9" s="56">
        <v>145.83099999999999</v>
      </c>
      <c r="P9" s="56">
        <v>145.54400000000001</v>
      </c>
      <c r="Q9" s="10" cm="1">
        <f t="array" ref="Q9">IF(L9&gt;0,IF(L9&gt;_xlfn.XLOOKUP(C9,C10:C$34,L10:L$34,0,0,1),(_xlfn.XLOOKUP(C9,C10:C$34,Q10:Q$34,0,0,1)*MAX(1,O9/_xlfn.XLOOKUP(C9,C10:C$1000,O10:O$1000,O9,0,1))*_xlfn.XLOOKUP(C9,C10:C$1000,L10:L$1000,0,0,1)+IF(_xlfn.XLOOKUP(I9,C10:C$34,I10:I$34,0,0,1)="put",-_xlfn.XLOOKUP(I9,C10:C$34,Q10:Q$34,0,0,1)*D9/100,_xlfn.XLOOKUP(I9,C10:C$34,Q10:Q$34,0,0,1)*D9/100)-G9*K9)/L9,_xlfn.XLOOKUP(C9,C10:C$34,Q10:Q$34,,0,1)*MAX(1,O9/_xlfn.XLOOKUP(C9,C10:C$1000,O10:O$1000,O9,0,1))),IF(L9&lt;0,IF(L9&lt;_xlfn.XLOOKUP(C9,C10:C$34,L10:L$34,0,0,1),(_xlfn.XLOOKUP(C9,C10:C$34,Q10:Q$34,0,0,1)-G9*K9)/L9,_xlfn.XLOOKUP(C9,C10:C$34,Q10:Q$34,,0,1)),0))</f>
        <v>0</v>
      </c>
      <c r="R9" s="59" cm="1">
        <f t="array" ref="R9">IF(_xlfn.XLOOKUP(C9,I$2:I9,I$2:I9,0,0,-1)=C9,0,IF(AND(H9&lt;&gt;"0",H9&lt;Resumen!$B$3,_xlfn.XLOOKUP(C9,C$2:C978,L$2:L978,,0,1)&lt;&gt;0),G9*K9,IFERROR(IF(_xlfn.XLOOKUP(C9,C10:C$34,L10:L$34,,0,1)&lt;0,IF(L9&gt;_xlfn.XLOOKUP(C9,C10:C$34,L10:L$34,,0,1),D9*_xlfn.XLOOKUP(C9,C10:C$34,Q10:Q$34,,0,1)+G9*K9,0),IF(_xlfn.XLOOKUP(C9,C10:C$34,L10:L$34,,0,1)&gt;0,IF(L9&lt;_xlfn.XLOOKUP(C9,C10:C$34,L10:L$34,,0,1),+G9*K9-_xlfn.XLOOKUP(C9,C10:C$34,Q10:Q$34,,0,1)*-D9*MAX(1,P9/_xlfn.XLOOKUP(C9,C10:C$34,O10:O$34,P9,0,1)),0),0)),0)))</f>
        <v>-1232.3935055250008</v>
      </c>
      <c r="S9" s="56" cm="1">
        <f t="array" ref="S9">IF(AND(H9&lt;&gt;"0",R9&lt;&gt;0),1,IF(R9=0,"-",IF(D9&lt;0, _xlfn.LET(_xlpm.v_cant, ABS(D9), _xlpm.v_fecha, A9, _xlpm.v_ticker, C9, _xlpm.rango_f, A10:A$1000, _xlpm.rango_t, D10:D$1000, _xlpm.filtro, C10:C$1000=_xlpm.v_ticker, _xlpm.c_fechas, _xlfn._xlws.FILTER(_xlpm.rango_f, _xlpm.filtro*(_xlpm.rango_t&gt;0), _xlpm.v_fecha), _xlpm.c_cants, _xlfn._xlws.FILTER(_xlpm.rango_t, _xlpm.filtro*(_xlpm.rango_t&gt;0), 0), _xlpm.v_acums_pasadas, ABS(SUMIFS(D10:D$1000, C10:C$1000, _xlpm.v_ticker, D10:D$1000,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10" spans="1:19" x14ac:dyDescent="0.45">
      <c r="A10" s="12">
        <v>46128</v>
      </c>
      <c r="B10" s="3" t="s">
        <v>224</v>
      </c>
      <c r="C10" s="3" t="s">
        <v>237</v>
      </c>
      <c r="D10" s="3">
        <v>1</v>
      </c>
      <c r="E10" s="3">
        <v>2.52</v>
      </c>
      <c r="F10" s="3">
        <v>-0.69794999999999996</v>
      </c>
      <c r="G10" s="3">
        <v>-252.69794999999999</v>
      </c>
      <c r="H10" s="14">
        <f t="shared" si="0"/>
        <v>46129</v>
      </c>
      <c r="I10" s="60" t="str" cm="1">
        <f t="array" ref="I10">IF(MID(C10,13,1)="C","Call",IF(MID(C10,13,1)="P","Put",IF(D10&gt;0,_xlfn._xlws.FILTER(C11:C$100,(ISNUMBER(SEARCH(C10,C11:C$100)))*(J11:J$100=E10)*((($B10="assignment")*(I11:I$100="put")*(D11:D$100&lt;0))+(($B10="exercise")*(I11:I$100="call")*(D11:D$100&gt;0)))*(H11:H$100=_xlfn.MINIFS(H11:H$100,C11:C$100,"*"&amp;C10&amp;"*",J11:J$100,E10,I11:I$100,IF(B10="assignment","put","call"),D11:D$100,IF(B10="assignment","&lt;0","&gt;0"),H11:H$100,"&gt;="&amp;A10)),""),"")))</f>
        <v>Call</v>
      </c>
      <c r="J10" s="9">
        <f t="shared" si="1"/>
        <v>24.5</v>
      </c>
      <c r="K10" s="9">
        <v>17.272300000000001</v>
      </c>
      <c r="L10" s="5">
        <f>SUMIF(C10:C$33,C10,D10:D$33)</f>
        <v>0</v>
      </c>
      <c r="M10" s="10" cm="1">
        <f t="array" ref="M10">IF(L10&gt;0,IF(L10&gt;_xlfn.XLOOKUP(C10,C11:C$34,L11:L$34,0,0,1),(_xlfn.XLOOKUP(C10,C11:C$34,M11:M$34,0,0,1)*_xlfn.XLOOKUP(C10,C11:C$34,L11:L$34,0,0,1)-G10*K10+_xlfn.XLOOKUP(I10,C11:C$34,M11:M$34,0,0,1)*_xlfn.XLOOKUP(I10,C11:C$34,L11:L$34,0,0,1)/D10*100)/L10,_xlfn.XLOOKUP(C10,C11:C$34,M11:M$34,0,0,1)),IF(L10&lt;0,IF(L10&lt;_xlfn.XLOOKUP(C10,C11:C$34,L11:L$34,0,0,1),(_xlfn.XLOOKUP(C10,C11:C$34,M11:M$34,0,0,1)*_xlfn.XLOOKUP(C10,C11:C$34,L11:L$34,0,0,1)-G10*K10)/L10,_xlfn.XLOOKUP(C10,C11:C$34,M11:M$34,0,0,1)),0))</f>
        <v>0</v>
      </c>
      <c r="N10" s="10" cm="1">
        <f t="array" ref="N10">IF(_xlfn.XLOOKUP(C10,I$2:I10,I$2:I10,0,0,-1)=C10,0,IF(AND(H10&lt;&gt;"0",H10&lt;Resumen!$B$3,_xlfn.XLOOKUP(C10,C$2:C979,L$2:L979,,0,1)&lt;&gt;0),G10*K10,IFERROR(IF(_xlfn.XLOOKUP(C10,C11:C$34,L11:L$34,,0,1)&lt;0,IF(L10&gt;_xlfn.XLOOKUP(C10,C11:C$34,L11:L$34,,0,1),D10*_xlfn.XLOOKUP(C10,C11:C$34,M11:M$34,,0,1)+G10*K10,0),IF(_xlfn.XLOOKUP(C10,C11:C$34,L11:L$34,,0,1)&gt;0,IF(L10&lt;_xlfn.XLOOKUP(C10,C11:C$34,L11:L$34,,0,1),G10*K10-_xlfn.XLOOKUP(C10,C11:C$34,M11:M$34,,0,1)*-D10,0),0)),0)))</f>
        <v>-4122.7110222880001</v>
      </c>
      <c r="O10" s="56">
        <v>145.83099999999999</v>
      </c>
      <c r="P10" s="56">
        <v>145.54400000000001</v>
      </c>
      <c r="Q10" s="10" cm="1">
        <f t="array" ref="Q10">IF(L10&gt;0,IF(L10&gt;_xlfn.XLOOKUP(C10,C11:C$34,L11:L$34,0,0,1),(_xlfn.XLOOKUP(C10,C11:C$34,Q11:Q$34,0,0,1)*MAX(1,O10/_xlfn.XLOOKUP(C10,C11:C$1000,O11:O$1000,O10,0,1))*_xlfn.XLOOKUP(C10,C11:C$1000,L11:L$1000,0,0,1)+IF(_xlfn.XLOOKUP(I10,C11:C$34,I11:I$34,0,0,1)="put",-_xlfn.XLOOKUP(I10,C11:C$34,Q11:Q$34,0,0,1)*D10/100,_xlfn.XLOOKUP(I10,C11:C$34,Q11:Q$34,0,0,1)*D10/100)-G10*K10)/L10,_xlfn.XLOOKUP(C10,C11:C$34,Q11:Q$34,,0,1)*MAX(1,O10/_xlfn.XLOOKUP(C10,C11:C$1000,O11:O$1000,O10,0,1))),IF(L10&lt;0,IF(L10&lt;_xlfn.XLOOKUP(C10,C11:C$34,L11:L$34,0,0,1),(_xlfn.XLOOKUP(C10,C11:C$34,Q11:Q$34,0,0,1)-G10*K10)/L10,_xlfn.XLOOKUP(C10,C11:C$34,Q11:Q$34,,0,1)),0))</f>
        <v>0</v>
      </c>
      <c r="R10" s="59" cm="1">
        <f t="array" ref="R10">IF(_xlfn.XLOOKUP(C10,I$2:I10,I$2:I10,0,0,-1)=C10,0,IF(AND(H10&lt;&gt;"0",H10&lt;Resumen!$B$3,_xlfn.XLOOKUP(C10,C$2:C979,L$2:L979,,0,1)&lt;&gt;0),G10*K10,IFERROR(IF(_xlfn.XLOOKUP(C10,C11:C$34,L11:L$34,,0,1)&lt;0,IF(L10&gt;_xlfn.XLOOKUP(C10,C11:C$34,L11:L$34,,0,1),D10*_xlfn.XLOOKUP(C10,C11:C$34,Q11:Q$34,,0,1)+G10*K10,0),IF(_xlfn.XLOOKUP(C10,C11:C$34,L11:L$34,,0,1)&gt;0,IF(L10&lt;_xlfn.XLOOKUP(C10,C11:C$34,L11:L$34,,0,1),+G10*K10-_xlfn.XLOOKUP(C10,C11:C$34,Q11:Q$34,,0,1)*-D10*MAX(1,P10/_xlfn.XLOOKUP(C10,C11:C$34,O11:O$34,P10,0,1)),0),0)),0)))</f>
        <v>-4122.7110222880001</v>
      </c>
      <c r="S10" s="56" cm="1">
        <f t="array" ref="S10">IF(AND(H10&lt;&gt;"0",R10&lt;&gt;0),1,IF(R10=0,"-",IF(D10&lt;0, _xlfn.LET(_xlpm.v_cant, ABS(D10), _xlpm.v_fecha, A10, _xlpm.v_ticker, C10, _xlpm.rango_f, A11:A$1000, _xlpm.rango_t, D11:D$1000, _xlpm.filtro, C11:C$1000=_xlpm.v_ticker, _xlpm.c_fechas, _xlfn._xlws.FILTER(_xlpm.rango_f, _xlpm.filtro*(_xlpm.rango_t&gt;0), _xlpm.v_fecha), _xlpm.c_cants, _xlfn._xlws.FILTER(_xlpm.rango_t, _xlpm.filtro*(_xlpm.rango_t&gt;0), 0), _xlpm.v_acums_pasadas, ABS(SUMIFS(D11:D$1000, C11:C$1000, _xlpm.v_ticker, D11:D$1000,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11" spans="1:19" x14ac:dyDescent="0.45">
      <c r="A11" s="12">
        <v>46128</v>
      </c>
      <c r="B11" s="3" t="s">
        <v>222</v>
      </c>
      <c r="C11" s="3" t="s">
        <v>239</v>
      </c>
      <c r="D11" s="3">
        <v>-1</v>
      </c>
      <c r="E11" s="3">
        <v>2.57</v>
      </c>
      <c r="F11" s="3">
        <v>-0.7065342</v>
      </c>
      <c r="G11" s="3">
        <v>256.29346579999998</v>
      </c>
      <c r="H11" s="14">
        <f t="shared" si="0"/>
        <v>46157</v>
      </c>
      <c r="I11" s="60" t="str" cm="1">
        <f t="array" ref="I11">IF(MID(C11,13,1)="C","Call",IF(MID(C11,13,1)="P","Put",IF(D11&gt;0,_xlfn._xlws.FILTER(C12:C$100,(ISNUMBER(SEARCH(C11,C12:C$100)))*(J12:J$100=E11)*((($B11="assignment")*(I12:I$100="put")*(D12:D$100&lt;0))+(($B11="exercise")*(I12:I$100="call")*(D12:D$100&gt;0)))*(H12:H$100=_xlfn.MINIFS(H12:H$100,C12:C$100,"*"&amp;C11&amp;"*",J12:J$100,E11,I12:I$100,IF(B11="assignment","put","call"),D12:D$100,IF(B11="assignment","&lt;0","&gt;0"),H12:H$100,"&gt;="&amp;A11)),""),"")))</f>
        <v>Call</v>
      </c>
      <c r="J11" s="9">
        <f t="shared" si="1"/>
        <v>30</v>
      </c>
      <c r="K11" s="9">
        <v>17.272300000000001</v>
      </c>
      <c r="L11" s="5">
        <f>SUMIF(C11:C$33,C11,D11:D$33)</f>
        <v>-1</v>
      </c>
      <c r="M11" s="10" cm="1">
        <f t="array" ref="M11">IF(L11&gt;0,IF(L11&gt;_xlfn.XLOOKUP(C11,C12:C$34,L12:L$34,0,0,1),(_xlfn.XLOOKUP(C11,C12:C$34,M12:M$34,0,0,1)*_xlfn.XLOOKUP(C11,C12:C$34,L12:L$34,0,0,1)-G11*K11+_xlfn.XLOOKUP(I11,C12:C$34,M12:M$34,0,0,1)*_xlfn.XLOOKUP(I11,C12:C$34,L12:L$34,0,0,1)/D11*100)/L11,_xlfn.XLOOKUP(C11,C12:C$34,M12:M$34,0,0,1)),IF(L11&lt;0,IF(L11&lt;_xlfn.XLOOKUP(C11,C12:C$34,L12:L$34,0,0,1),(_xlfn.XLOOKUP(C11,C12:C$34,M12:M$34,0,0,1)*_xlfn.XLOOKUP(C11,C12:C$34,L12:L$34,0,0,1)-G11*K11)/L11,_xlfn.XLOOKUP(C11,C12:C$34,M12:M$34,0,0,1)),0))</f>
        <v>4426.7776293373399</v>
      </c>
      <c r="N11" s="10" cm="1">
        <f t="array" ref="N11">IF(_xlfn.XLOOKUP(C11,I$2:I11,I$2:I11,0,0,-1)=C11,0,IF(AND(H11&lt;&gt;"0",H11&lt;Resumen!$B$3,_xlfn.XLOOKUP(C11,C$2:C980,L$2:L980,,0,1)&lt;&gt;0),G11*K11,IFERROR(IF(_xlfn.XLOOKUP(C11,C12:C$34,L12:L$34,,0,1)&lt;0,IF(L11&gt;_xlfn.XLOOKUP(C11,C12:C$34,L12:L$34,,0,1),D11*_xlfn.XLOOKUP(C11,C12:C$34,M12:M$34,,0,1)+G11*K11,0),IF(_xlfn.XLOOKUP(C11,C12:C$34,L12:L$34,,0,1)&gt;0,IF(L11&lt;_xlfn.XLOOKUP(C11,C12:C$34,L12:L$34,,0,1),G11*K11-_xlfn.XLOOKUP(C11,C12:C$34,M12:M$34,,0,1)*-D11,0),0)),0)))</f>
        <v>4426.7776293373399</v>
      </c>
      <c r="O11" s="56">
        <v>145.83099999999999</v>
      </c>
      <c r="P11" s="56">
        <v>145.54400000000001</v>
      </c>
      <c r="Q11" s="10" cm="1">
        <f t="array" ref="Q11">IF(L11&gt;0,IF(L11&gt;_xlfn.XLOOKUP(C11,C12:C$34,L12:L$34,0,0,1),(_xlfn.XLOOKUP(C11,C12:C$34,Q12:Q$34,0,0,1)*MAX(1,O11/_xlfn.XLOOKUP(C11,C12:C$1000,O12:O$1000,O11,0,1))*_xlfn.XLOOKUP(C11,C12:C$1000,L12:L$1000,0,0,1)+IF(_xlfn.XLOOKUP(I11,C12:C$34,I12:I$34,0,0,1)="put",-_xlfn.XLOOKUP(I11,C12:C$34,Q12:Q$34,0,0,1)*D11/100,_xlfn.XLOOKUP(I11,C12:C$34,Q12:Q$34,0,0,1)*D11/100)-G11*K11)/L11,_xlfn.XLOOKUP(C11,C12:C$34,Q12:Q$34,,0,1)*MAX(1,O11/_xlfn.XLOOKUP(C11,C12:C$1000,O12:O$1000,O11,0,1))),IF(L11&lt;0,IF(L11&lt;_xlfn.XLOOKUP(C11,C12:C$34,L12:L$34,0,0,1),(_xlfn.XLOOKUP(C11,C12:C$34,Q12:Q$34,0,0,1)-G11*K11)/L11,_xlfn.XLOOKUP(C11,C12:C$34,Q12:Q$34,,0,1)),0))</f>
        <v>4426.7776293373399</v>
      </c>
      <c r="R11" s="59" cm="1">
        <f t="array" ref="R11">IF(_xlfn.XLOOKUP(C11,I$2:I11,I$2:I11,0,0,-1)=C11,0,IF(AND(H11&lt;&gt;"0",H11&lt;Resumen!$B$3,_xlfn.XLOOKUP(C11,C$2:C980,L$2:L980,,0,1)&lt;&gt;0),G11*K11,IFERROR(IF(_xlfn.XLOOKUP(C11,C12:C$34,L12:L$34,,0,1)&lt;0,IF(L11&gt;_xlfn.XLOOKUP(C11,C12:C$34,L12:L$34,,0,1),D11*_xlfn.XLOOKUP(C11,C12:C$34,Q12:Q$34,,0,1)+G11*K11,0),IF(_xlfn.XLOOKUP(C11,C12:C$34,L12:L$34,,0,1)&gt;0,IF(L11&lt;_xlfn.XLOOKUP(C11,C12:C$34,L12:L$34,,0,1),+G11*K11-_xlfn.XLOOKUP(C11,C12:C$34,Q12:Q$34,,0,1)*-D11*MAX(1,P11/_xlfn.XLOOKUP(C11,C12:C$34,O12:O$34,P11,0,1)),0),0)),0)))</f>
        <v>4426.7776293373399</v>
      </c>
      <c r="S11" s="56" cm="1">
        <f t="array" ref="S11">IF(AND(H11&lt;&gt;"0",R11&lt;&gt;0),1,IF(R11=0,"-",IF(D11&lt;0, _xlfn.LET(_xlpm.v_cant, ABS(D11), _xlpm.v_fecha, A11, _xlpm.v_ticker, C11, _xlpm.rango_f, A12:A$1000, _xlpm.rango_t, D12:D$1000, _xlpm.filtro, C12:C$1000=_xlpm.v_ticker, _xlpm.c_fechas, _xlfn._xlws.FILTER(_xlpm.rango_f, _xlpm.filtro*(_xlpm.rango_t&gt;0), _xlpm.v_fecha), _xlpm.c_cants, _xlfn._xlws.FILTER(_xlpm.rango_t, _xlpm.filtro*(_xlpm.rango_t&gt;0), 0), _xlpm.v_acums_pasadas, ABS(SUMIFS(D12:D$1000, C12:C$1000, _xlpm.v_ticker, D12:D$1000,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12" spans="1:19" x14ac:dyDescent="0.45">
      <c r="A12" s="12">
        <v>46125</v>
      </c>
      <c r="B12" s="3" t="s">
        <v>222</v>
      </c>
      <c r="C12" s="3" t="s">
        <v>237</v>
      </c>
      <c r="D12" s="3">
        <v>-1</v>
      </c>
      <c r="E12" s="3">
        <v>0.15</v>
      </c>
      <c r="F12" s="3">
        <v>-1.0515490000000001</v>
      </c>
      <c r="G12" s="3">
        <v>13.948451</v>
      </c>
      <c r="H12" s="14">
        <f t="shared" si="0"/>
        <v>46129</v>
      </c>
      <c r="I12" s="60" t="str" cm="1">
        <f t="array" ref="I12">IF(MID(C12,13,1)="C","Call",IF(MID(C12,13,1)="P","Put",IF(D12&gt;0,_xlfn._xlws.FILTER(C13:C$100,(ISNUMBER(SEARCH(C12,C13:C$100)))*(J13:J$100=E12)*((($B12="assignment")*(I13:I$100="put")*(D13:D$100&lt;0))+(($B12="exercise")*(I13:I$100="call")*(D13:D$100&gt;0)))*(H13:H$100=_xlfn.MINIFS(H13:H$100,C13:C$100,"*"&amp;C12&amp;"*",J13:J$100,E12,I13:I$100,IF(B12="assignment","put","call"),D13:D$100,IF(B12="assignment","&lt;0","&gt;0"),H13:H$100,"&gt;="&amp;A12)),""),"")))</f>
        <v>Call</v>
      </c>
      <c r="J12" s="9">
        <f t="shared" si="1"/>
        <v>24.5</v>
      </c>
      <c r="K12" s="9">
        <v>17.347000000000001</v>
      </c>
      <c r="L12" s="5">
        <f>SUMIF(C12:C$33,C12,D12:D$33)</f>
        <v>-1</v>
      </c>
      <c r="M12" s="10" cm="1">
        <f t="array" ref="M12">IF(L12&gt;0,IF(L12&gt;_xlfn.XLOOKUP(C12,C13:C$34,L13:L$34,0,0,1),(_xlfn.XLOOKUP(C12,C13:C$34,M13:M$34,0,0,1)*_xlfn.XLOOKUP(C12,C13:C$34,L13:L$34,0,0,1)-G12*K12+_xlfn.XLOOKUP(I12,C13:C$34,M13:M$34,0,0,1)*_xlfn.XLOOKUP(I12,C13:C$34,L13:L$34,0,0,1)/D12*100)/L12,_xlfn.XLOOKUP(C12,C13:C$34,M13:M$34,0,0,1)),IF(L12&lt;0,IF(L12&lt;_xlfn.XLOOKUP(C12,C13:C$34,L13:L$34,0,0,1),(_xlfn.XLOOKUP(C12,C13:C$34,M13:M$34,0,0,1)*_xlfn.XLOOKUP(C12,C13:C$34,L13:L$34,0,0,1)-G12*K12)/L12,_xlfn.XLOOKUP(C12,C13:C$34,M13:M$34,0,0,1)),0))</f>
        <v>241.96377949700002</v>
      </c>
      <c r="N12" s="10" cm="1">
        <f t="array" ref="N12">IF(_xlfn.XLOOKUP(C12,I$2:I12,I$2:I12,0,0,-1)=C12,0,IF(AND(H12&lt;&gt;"0",H12&lt;Resumen!$B$3,_xlfn.XLOOKUP(C12,C$2:C981,L$2:L981,,0,1)&lt;&gt;0),G12*K12,IFERROR(IF(_xlfn.XLOOKUP(C12,C13:C$34,L13:L$34,,0,1)&lt;0,IF(L12&gt;_xlfn.XLOOKUP(C12,C13:C$34,L13:L$34,,0,1),D12*_xlfn.XLOOKUP(C12,C13:C$34,M13:M$34,,0,1)+G12*K12,0),IF(_xlfn.XLOOKUP(C12,C13:C$34,L13:L$34,,0,1)&gt;0,IF(L12&lt;_xlfn.XLOOKUP(C12,C13:C$34,L13:L$34,,0,1),G12*K12-_xlfn.XLOOKUP(C12,C13:C$34,M13:M$34,,0,1)*-D12,0),0)),0)))</f>
        <v>0</v>
      </c>
      <c r="O12" s="56">
        <v>145.83099999999999</v>
      </c>
      <c r="P12" s="56">
        <v>145.54400000000001</v>
      </c>
      <c r="Q12" s="10" cm="1">
        <f t="array" ref="Q12">IF(L12&gt;0,IF(L12&gt;_xlfn.XLOOKUP(C12,C13:C$34,L13:L$34,0,0,1),(_xlfn.XLOOKUP(C12,C13:C$34,Q13:Q$34,0,0,1)*MAX(1,O12/_xlfn.XLOOKUP(C12,C13:C$1000,O13:O$1000,O12,0,1))*_xlfn.XLOOKUP(C12,C13:C$1000,L13:L$1000,0,0,1)+IF(_xlfn.XLOOKUP(I12,C13:C$34,I13:I$34,0,0,1)="put",-_xlfn.XLOOKUP(I12,C13:C$34,Q13:Q$34,0,0,1)*D12/100,_xlfn.XLOOKUP(I12,C13:C$34,Q13:Q$34,0,0,1)*D12/100)-G12*K12)/L12,_xlfn.XLOOKUP(C12,C13:C$34,Q13:Q$34,,0,1)*MAX(1,O12/_xlfn.XLOOKUP(C12,C13:C$1000,O13:O$1000,O12,0,1))),IF(L12&lt;0,IF(L12&lt;_xlfn.XLOOKUP(C12,C13:C$34,L13:L$34,0,0,1),(_xlfn.XLOOKUP(C12,C13:C$34,Q13:Q$34,0,0,1)-G12*K12)/L12,_xlfn.XLOOKUP(C12,C13:C$34,Q13:Q$34,,0,1)),0))</f>
        <v>241.96377949700002</v>
      </c>
      <c r="R12" s="59" cm="1">
        <f t="array" ref="R12">IF(_xlfn.XLOOKUP(C12,I$2:I12,I$2:I12,0,0,-1)=C12,0,IF(AND(H12&lt;&gt;"0",H12&lt;Resumen!$B$3,_xlfn.XLOOKUP(C12,C$2:C981,L$2:L981,,0,1)&lt;&gt;0),G12*K12,IFERROR(IF(_xlfn.XLOOKUP(C12,C13:C$34,L13:L$34,,0,1)&lt;0,IF(L12&gt;_xlfn.XLOOKUP(C12,C13:C$34,L13:L$34,,0,1),D12*_xlfn.XLOOKUP(C12,C13:C$34,Q13:Q$34,,0,1)+G12*K12,0),IF(_xlfn.XLOOKUP(C12,C13:C$34,L13:L$34,,0,1)&gt;0,IF(L12&lt;_xlfn.XLOOKUP(C12,C13:C$34,L13:L$34,,0,1),+G12*K12-_xlfn.XLOOKUP(C12,C13:C$34,Q13:Q$34,,0,1)*-D12*MAX(1,P12/_xlfn.XLOOKUP(C12,C13:C$34,O13:O$34,P12,0,1)),0),0)),0)))</f>
        <v>0</v>
      </c>
      <c r="S12" s="56" t="str" cm="1">
        <f t="array" ref="S12">IF(AND(H12&lt;&gt;"0",R12&lt;&gt;0),1,IF(R12=0,"-",IF(D12&lt;0, _xlfn.LET(_xlpm.v_cant, ABS(D12), _xlpm.v_fecha, A12, _xlpm.v_ticker, C12, _xlpm.rango_f, A13:A$1000, _xlpm.rango_t, D13:D$1000, _xlpm.filtro, C13:C$1000=_xlpm.v_ticker, _xlpm.c_fechas, _xlfn._xlws.FILTER(_xlpm.rango_f, _xlpm.filtro*(_xlpm.rango_t&gt;0), _xlpm.v_fecha), _xlpm.c_cants, _xlfn._xlws.FILTER(_xlpm.rango_t, _xlpm.filtro*(_xlpm.rango_t&gt;0), 0), _xlpm.v_acums_pasadas, ABS(SUMIFS(D13:D$1000, C13:C$1000, _xlpm.v_ticker, D13:D$1000,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13" spans="1:19" ht="32" x14ac:dyDescent="0.45">
      <c r="A13" s="12">
        <v>46122</v>
      </c>
      <c r="B13" s="3" t="s">
        <v>240</v>
      </c>
      <c r="C13" s="3" t="s">
        <v>241</v>
      </c>
      <c r="D13" s="3">
        <v>100</v>
      </c>
      <c r="E13" s="3">
        <v>20</v>
      </c>
      <c r="F13" s="3" t="s">
        <v>212</v>
      </c>
      <c r="G13" s="3">
        <v>-2000</v>
      </c>
      <c r="H13" s="14" t="str">
        <f t="shared" si="0"/>
        <v>0</v>
      </c>
      <c r="I13" s="60" t="str" cm="1">
        <f t="array" ref="I13">IF(MID(C13,13,1)="C","Call",IF(MID(C13,13,1)="P","Put",IF(D13&gt;0,_xlfn._xlws.FILTER(C14:C$100,(ISNUMBER(SEARCH(C13,C14:C$100)))*(J14:J$100=E13)*((($B13="assignment")*(I14:I$100="put")*(D14:D$100&lt;0))+(($B13="exercise")*(I14:I$100="call")*(D14:D$100&gt;0)))*(H14:H$100=_xlfn.MINIFS(H14:H$100,C14:C$100,"*"&amp;C13&amp;"*",J14:J$100,E13,I14:I$100,IF(B13="assignment","put","call"),D14:D$100,IF(B13="assignment","&lt;0","&gt;0"),H14:H$100,"&gt;="&amp;A13)),""),"")))</f>
        <v>HIMS  260410P00020000</v>
      </c>
      <c r="J13" s="9">
        <f t="shared" si="1"/>
        <v>0</v>
      </c>
      <c r="K13" s="9">
        <v>17.3033</v>
      </c>
      <c r="L13" s="5">
        <f>SUMIF(C13:C$33,C13,D13:D$33)</f>
        <v>100</v>
      </c>
      <c r="M13" s="10" cm="1">
        <f t="array" ref="M13">IF(L13&gt;0,IF(L13&gt;_xlfn.XLOOKUP(C13,C14:C$34,L14:L$34,0,0,1),(_xlfn.XLOOKUP(C13,C14:C$34,M14:M$34,0,0,1)*_xlfn.XLOOKUP(C13,C14:C$34,L14:L$34,0,0,1)-G13*K13+_xlfn.XLOOKUP(I13,C14:C$34,M14:M$34,0,0,1)*_xlfn.XLOOKUP(I13,C14:C$34,L14:L$34,0,0,1)/D13*100)/L13,_xlfn.XLOOKUP(C13,C14:C$34,M14:M$34,0,0,1)),IF(L13&lt;0,IF(L13&lt;_xlfn.XLOOKUP(C13,C14:C$34,L14:L$34,0,0,1),(_xlfn.XLOOKUP(C13,C14:C$34,M14:M$34,0,0,1)*_xlfn.XLOOKUP(C13,C14:C$34,L14:L$34,0,0,1)-G13*K13)/L13,_xlfn.XLOOKUP(C13,C14:C$34,M14:M$34,0,0,1)),0))</f>
        <v>329.30854757632</v>
      </c>
      <c r="N13" s="10" cm="1">
        <f t="array" ref="N13">IF(_xlfn.XLOOKUP(C13,I$2:I13,I$2:I13,0,0,-1)=C13,0,IF(AND(H13&lt;&gt;"0",H13&lt;Resumen!$B$3,_xlfn.XLOOKUP(C13,C$2:C982,L$2:L982,,0,1)&lt;&gt;0),G13*K13,IFERROR(IF(_xlfn.XLOOKUP(C13,C14:C$34,L14:L$34,,0,1)&lt;0,IF(L13&gt;_xlfn.XLOOKUP(C13,C14:C$34,L14:L$34,,0,1),D13*_xlfn.XLOOKUP(C13,C14:C$34,M14:M$34,,0,1)+G13*K13,0),IF(_xlfn.XLOOKUP(C13,C14:C$34,L14:L$34,,0,1)&gt;0,IF(L13&lt;_xlfn.XLOOKUP(C13,C14:C$34,L14:L$34,,0,1),G13*K13-_xlfn.XLOOKUP(C13,C14:C$34,M14:M$34,,0,1)*-D13,0),0)),0)))</f>
        <v>0</v>
      </c>
      <c r="O13" s="56">
        <v>145.83099999999999</v>
      </c>
      <c r="P13" s="56">
        <v>145.54400000000001</v>
      </c>
      <c r="Q13" s="10" cm="1">
        <f t="array" ref="Q13">IF(L13&gt;0,IF(L13&gt;_xlfn.XLOOKUP(C13,C14:C$34,L14:L$34,0,0,1),(_xlfn.XLOOKUP(C13,C14:C$34,Q14:Q$34,0,0,1)*MAX(1,O13/_xlfn.XLOOKUP(C13,C14:C$1000,O14:O$1000,O13,0,1))*_xlfn.XLOOKUP(C13,C14:C$1000,L14:L$1000,0,0,1)+IF(_xlfn.XLOOKUP(I13,C14:C$34,I14:I$34,0,0,1)="put",-_xlfn.XLOOKUP(I13,C14:C$34,Q14:Q$34,0,0,1)*D13/100,_xlfn.XLOOKUP(I13,C14:C$34,Q14:Q$34,0,0,1)*D13/100)-G13*K13)/L13,_xlfn.XLOOKUP(C13,C14:C$34,Q14:Q$34,,0,1)*MAX(1,O13/_xlfn.XLOOKUP(C13,C14:C$1000,O14:O$1000,O13,0,1))),IF(L13&lt;0,IF(L13&lt;_xlfn.XLOOKUP(C13,C14:C$34,L14:L$34,0,0,1),(_xlfn.XLOOKUP(C13,C14:C$34,Q14:Q$34,0,0,1)-G13*K13)/L13,_xlfn.XLOOKUP(C13,C14:C$34,Q14:Q$34,,0,1)),0))</f>
        <v>329.30854757632</v>
      </c>
      <c r="R13" s="59" cm="1">
        <f t="array" ref="R13">IF(_xlfn.XLOOKUP(C13,I$2:I13,I$2:I13,0,0,-1)=C13,0,IF(AND(H13&lt;&gt;"0",H13&lt;Resumen!$B$3,_xlfn.XLOOKUP(C13,C$2:C982,L$2:L982,,0,1)&lt;&gt;0),G13*K13,IFERROR(IF(_xlfn.XLOOKUP(C13,C14:C$34,L14:L$34,,0,1)&lt;0,IF(L13&gt;_xlfn.XLOOKUP(C13,C14:C$34,L14:L$34,,0,1),D13*_xlfn.XLOOKUP(C13,C14:C$34,Q14:Q$34,,0,1)+G13*K13,0),IF(_xlfn.XLOOKUP(C13,C14:C$34,L14:L$34,,0,1)&gt;0,IF(L13&lt;_xlfn.XLOOKUP(C13,C14:C$34,L14:L$34,,0,1),+G13*K13-_xlfn.XLOOKUP(C13,C14:C$34,Q14:Q$34,,0,1)*-D13*MAX(1,P13/_xlfn.XLOOKUP(C13,C14:C$34,O14:O$34,P13,0,1)),0),0)),0)))</f>
        <v>0</v>
      </c>
      <c r="S13" s="56" t="str" cm="1">
        <f t="array" ref="S13">IF(AND(H13&lt;&gt;"0",R13&lt;&gt;0),1,IF(R13=0,"-",IF(D13&lt;0, _xlfn.LET(_xlpm.v_cant, ABS(D13), _xlpm.v_fecha, A13, _xlpm.v_ticker, C13, _xlpm.rango_f, A14:A$1000, _xlpm.rango_t, D14:D$1000, _xlpm.filtro, C14:C$1000=_xlpm.v_ticker, _xlpm.c_fechas, _xlfn._xlws.FILTER(_xlpm.rango_f, _xlpm.filtro*(_xlpm.rango_t&gt;0), _xlpm.v_fecha), _xlpm.c_cants, _xlfn._xlws.FILTER(_xlpm.rango_t, _xlpm.filtro*(_xlpm.rango_t&gt;0), 0), _xlpm.v_acums_pasadas, ABS(SUMIFS(D14:D$1000, C14:C$1000, _xlpm.v_ticker, D14:D$1000,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14" spans="1:19" x14ac:dyDescent="0.45">
      <c r="A14" s="12">
        <v>46108</v>
      </c>
      <c r="B14" s="3" t="s">
        <v>222</v>
      </c>
      <c r="C14" s="3" t="s">
        <v>243</v>
      </c>
      <c r="D14" s="3">
        <v>-1</v>
      </c>
      <c r="E14" s="3">
        <v>0.21</v>
      </c>
      <c r="F14" s="3">
        <v>-0.99124000000000001</v>
      </c>
      <c r="G14" s="3">
        <v>20.008759999999999</v>
      </c>
      <c r="H14" s="14">
        <f t="shared" si="0"/>
        <v>46402</v>
      </c>
      <c r="I14" s="60" t="str" cm="1">
        <f t="array" ref="I14">IF(MID(C14,13,1)="C","Call",IF(MID(C14,13,1)="P","Put",IF(D14&gt;0,_xlfn._xlws.FILTER(C15:C$100,(ISNUMBER(SEARCH(C14,C15:C$100)))*(J15:J$100=E14)*((($B14="assignment")*(I15:I$100="put")*(D15:D$100&lt;0))+(($B14="exercise")*(I15:I$100="call")*(D15:D$100&gt;0)))*(H15:H$100=_xlfn.MINIFS(H15:H$100,C15:C$100,"*"&amp;C14&amp;"*",J15:J$100,E14,I15:I$100,IF(B14="assignment","put","call"),D15:D$100,IF(B14="assignment","&lt;0","&gt;0"),H15:H$100,"&gt;="&amp;A14)),""),"")))</f>
        <v>Call</v>
      </c>
      <c r="J14" s="9">
        <f t="shared" si="1"/>
        <v>2.5</v>
      </c>
      <c r="K14" s="9">
        <v>18.066700000000001</v>
      </c>
      <c r="L14" s="5">
        <f>SUMIF(C14:C$33,C14,D14:D$33)</f>
        <v>0</v>
      </c>
      <c r="M14" s="10" cm="1">
        <f t="array" ref="M14">IF(L14&gt;0,IF(L14&gt;_xlfn.XLOOKUP(C14,C15:C$34,L15:L$34,0,0,1),(_xlfn.XLOOKUP(C14,C15:C$34,M15:M$34,0,0,1)*_xlfn.XLOOKUP(C14,C15:C$34,L15:L$34,0,0,1)-G14*K14+_xlfn.XLOOKUP(I14,C15:C$34,M15:M$34,0,0,1)*_xlfn.XLOOKUP(I14,C15:C$34,L15:L$34,0,0,1)/D14*100)/L14,_xlfn.XLOOKUP(C14,C15:C$34,M15:M$34,0,0,1)),IF(L14&lt;0,IF(L14&lt;_xlfn.XLOOKUP(C14,C15:C$34,L15:L$34,0,0,1),(_xlfn.XLOOKUP(C14,C15:C$34,M15:M$34,0,0,1)*_xlfn.XLOOKUP(C14,C15:C$34,L15:L$34,0,0,1)-G14*K14)/L14,_xlfn.XLOOKUP(C14,C15:C$34,M15:M$34,0,0,1)),0))</f>
        <v>0</v>
      </c>
      <c r="N14" s="10" cm="1">
        <f t="array" ref="N14">IF(_xlfn.XLOOKUP(C14,I$2:I14,I$2:I14,0,0,-1)=C14,0,IF(AND(H14&lt;&gt;"0",H14&lt;Resumen!$B$3,_xlfn.XLOOKUP(C14,C$2:C983,L$2:L983,,0,1)&lt;&gt;0),G14*K14,IFERROR(IF(_xlfn.XLOOKUP(C14,C15:C$34,L15:L$34,,0,1)&lt;0,IF(L14&gt;_xlfn.XLOOKUP(C14,C15:C$34,L15:L$34,,0,1),D14*_xlfn.XLOOKUP(C14,C15:C$34,M15:M$34,,0,1)+G14*K14,0),IF(_xlfn.XLOOKUP(C14,C15:C$34,L15:L$34,,0,1)&gt;0,IF(L14&lt;_xlfn.XLOOKUP(C14,C15:C$34,L15:L$34,,0,1),G14*K14-_xlfn.XLOOKUP(C14,C15:C$34,M15:M$34,,0,1)*-D14,0),0)),0)))</f>
        <v>137.37358904200002</v>
      </c>
      <c r="O14" s="56">
        <v>145.54400000000001</v>
      </c>
      <c r="P14" s="56">
        <v>144.30699999999999</v>
      </c>
      <c r="Q14" s="10" cm="1">
        <f t="array" ref="Q14">IF(L14&gt;0,IF(L14&gt;_xlfn.XLOOKUP(C14,C15:C$34,L15:L$34,0,0,1),(_xlfn.XLOOKUP(C14,C15:C$34,Q15:Q$34,0,0,1)*MAX(1,O14/_xlfn.XLOOKUP(C14,C15:C$1000,O15:O$1000,O14,0,1))*_xlfn.XLOOKUP(C14,C15:C$1000,L15:L$1000,0,0,1)+IF(_xlfn.XLOOKUP(I14,C15:C$34,I15:I$34,0,0,1)="put",-_xlfn.XLOOKUP(I14,C15:C$34,Q15:Q$34,0,0,1)*D14/100,_xlfn.XLOOKUP(I14,C15:C$34,Q15:Q$34,0,0,1)*D14/100)-G14*K14)/L14,_xlfn.XLOOKUP(C14,C15:C$34,Q15:Q$34,,0,1)*MAX(1,O14/_xlfn.XLOOKUP(C14,C15:C$1000,O15:O$1000,O14,0,1))),IF(L14&lt;0,IF(L14&lt;_xlfn.XLOOKUP(C14,C15:C$34,L15:L$34,0,0,1),(_xlfn.XLOOKUP(C14,C15:C$34,Q15:Q$34,0,0,1)-G14*K14)/L14,_xlfn.XLOOKUP(C14,C15:C$34,Q15:Q$34,,0,1)),0))</f>
        <v>0</v>
      </c>
      <c r="R14" s="59" cm="1">
        <f t="array" ref="R14">IF(_xlfn.XLOOKUP(C14,I$2:I14,I$2:I14,0,0,-1)=C14,0,IF(AND(H14&lt;&gt;"0",H14&lt;Resumen!$B$3,_xlfn.XLOOKUP(C14,C$2:C983,L$2:L983,,0,1)&lt;&gt;0),G14*K14,IFERROR(IF(_xlfn.XLOOKUP(C14,C15:C$34,L15:L$34,,0,1)&lt;0,IF(L14&gt;_xlfn.XLOOKUP(C14,C15:C$34,L15:L$34,,0,1),D14*_xlfn.XLOOKUP(C14,C15:C$34,Q15:Q$34,,0,1)+G14*K14,0),IF(_xlfn.XLOOKUP(C14,C15:C$34,L15:L$34,,0,1)&gt;0,IF(L14&lt;_xlfn.XLOOKUP(C14,C15:C$34,L15:L$34,,0,1),+G14*K14-_xlfn.XLOOKUP(C14,C15:C$34,Q15:Q$34,,0,1)*-D14*MAX(1,P14/_xlfn.XLOOKUP(C14,C15:C$34,O15:O$34,P14,0,1)),0),0)),0)))</f>
        <v>137.37358904200002</v>
      </c>
      <c r="S14" s="56" cm="1">
        <f t="array" ref="S14">IF(AND(H14&lt;&gt;"0",R14&lt;&gt;0),1,IF(R14=0,"-",IF(D14&lt;0, _xlfn.LET(_xlpm.v_cant, ABS(D14), _xlpm.v_fecha, A14, _xlpm.v_ticker, C14, _xlpm.rango_f, A15:A$1000, _xlpm.rango_t, D15:D$1000, _xlpm.filtro, C15:C$1000=_xlpm.v_ticker, _xlpm.c_fechas, _xlfn._xlws.FILTER(_xlpm.rango_f, _xlpm.filtro*(_xlpm.rango_t&gt;0), _xlpm.v_fecha), _xlpm.c_cants, _xlfn._xlws.FILTER(_xlpm.rango_t, _xlpm.filtro*(_xlpm.rango_t&gt;0), 0), _xlpm.v_acums_pasadas, ABS(SUMIFS(D15:D$1000, C15:C$1000, _xlpm.v_ticker, D15:D$1000,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15" spans="1:19" x14ac:dyDescent="0.45">
      <c r="A15" s="12">
        <v>46108</v>
      </c>
      <c r="B15" s="3" t="s">
        <v>222</v>
      </c>
      <c r="C15" s="3" t="s">
        <v>245</v>
      </c>
      <c r="D15" s="3">
        <v>-1</v>
      </c>
      <c r="E15" s="3">
        <v>0.39</v>
      </c>
      <c r="F15" s="3">
        <v>-0.99124000000000001</v>
      </c>
      <c r="G15" s="3">
        <v>38.008760000000002</v>
      </c>
      <c r="H15" s="14">
        <f t="shared" si="0"/>
        <v>46773</v>
      </c>
      <c r="I15" s="60" t="str" cm="1">
        <f t="array" ref="I15">IF(MID(C15,13,1)="C","Call",IF(MID(C15,13,1)="P","Put",IF(D15&gt;0,_xlfn._xlws.FILTER(C16:C$100,(ISNUMBER(SEARCH(C15,C16:C$100)))*(J16:J$100=E15)*((($B15="assignment")*(I16:I$100="put")*(D16:D$100&lt;0))+(($B15="exercise")*(I16:I$100="call")*(D16:D$100&gt;0)))*(H16:H$100=_xlfn.MINIFS(H16:H$100,C16:C$100,"*"&amp;C15&amp;"*",J16:J$100,E15,I16:I$100,IF(B15="assignment","put","call"),D16:D$100,IF(B15="assignment","&lt;0","&gt;0"),H16:H$100,"&gt;="&amp;A15)),""),"")))</f>
        <v>Call</v>
      </c>
      <c r="J15" s="9">
        <f t="shared" si="1"/>
        <v>2.5</v>
      </c>
      <c r="K15" s="9">
        <v>18.066700000000001</v>
      </c>
      <c r="L15" s="5">
        <f>SUMIF(C15:C$33,C15,D15:D$33)</f>
        <v>0</v>
      </c>
      <c r="M15" s="10" cm="1">
        <f t="array" ref="M15">IF(L15&gt;0,IF(L15&gt;_xlfn.XLOOKUP(C15,C16:C$34,L16:L$34,0,0,1),(_xlfn.XLOOKUP(C15,C16:C$34,M16:M$34,0,0,1)*_xlfn.XLOOKUP(C15,C16:C$34,L16:L$34,0,0,1)-G15*K15+_xlfn.XLOOKUP(I15,C16:C$34,M16:M$34,0,0,1)*_xlfn.XLOOKUP(I15,C16:C$34,L16:L$34,0,0,1)/D15*100)/L15,_xlfn.XLOOKUP(C15,C16:C$34,M16:M$34,0,0,1)),IF(L15&lt;0,IF(L15&lt;_xlfn.XLOOKUP(C15,C16:C$34,L16:L$34,0,0,1),(_xlfn.XLOOKUP(C15,C16:C$34,M16:M$34,0,0,1)*_xlfn.XLOOKUP(C15,C16:C$34,L16:L$34,0,0,1)-G15*K15)/L15,_xlfn.XLOOKUP(C15,C16:C$34,M16:M$34,0,0,1)),0))</f>
        <v>0</v>
      </c>
      <c r="N15" s="10" cm="1">
        <f t="array" ref="N15">IF(_xlfn.XLOOKUP(C15,I$2:I15,I$2:I15,0,0,-1)=C15,0,IF(AND(H15&lt;&gt;"0",H15&lt;Resumen!$B$3,_xlfn.XLOOKUP(C15,C$2:C984,L$2:L984,,0,1)&lt;&gt;0),G15*K15,IFERROR(IF(_xlfn.XLOOKUP(C15,C16:C$34,L16:L$34,,0,1)&lt;0,IF(L15&gt;_xlfn.XLOOKUP(C15,C16:C$34,L16:L$34,,0,1),D15*_xlfn.XLOOKUP(C15,C16:C$34,M16:M$34,,0,1)+G15*K15,0),IF(_xlfn.XLOOKUP(C15,C16:C$34,L16:L$34,,0,1)&gt;0,IF(L15&lt;_xlfn.XLOOKUP(C15,C16:C$34,L16:L$34,,0,1),G15*K15-_xlfn.XLOOKUP(C15,C16:C$34,M16:M$34,,0,1)*-D15,0),0)),0)))</f>
        <v>290.85218904200008</v>
      </c>
      <c r="O15" s="56">
        <v>145.54400000000001</v>
      </c>
      <c r="P15" s="56">
        <v>144.30699999999999</v>
      </c>
      <c r="Q15" s="10" cm="1">
        <f t="array" ref="Q15">IF(L15&gt;0,IF(L15&gt;_xlfn.XLOOKUP(C15,C16:C$34,L16:L$34,0,0,1),(_xlfn.XLOOKUP(C15,C16:C$34,Q16:Q$34,0,0,1)*MAX(1,O15/_xlfn.XLOOKUP(C15,C16:C$1000,O16:O$1000,O15,0,1))*_xlfn.XLOOKUP(C15,C16:C$1000,L16:L$1000,0,0,1)+IF(_xlfn.XLOOKUP(I15,C16:C$34,I16:I$34,0,0,1)="put",-_xlfn.XLOOKUP(I15,C16:C$34,Q16:Q$34,0,0,1)*D15/100,_xlfn.XLOOKUP(I15,C16:C$34,Q16:Q$34,0,0,1)*D15/100)-G15*K15)/L15,_xlfn.XLOOKUP(C15,C16:C$34,Q16:Q$34,,0,1)*MAX(1,O15/_xlfn.XLOOKUP(C15,C16:C$1000,O16:O$1000,O15,0,1))),IF(L15&lt;0,IF(L15&lt;_xlfn.XLOOKUP(C15,C16:C$34,L16:L$34,0,0,1),(_xlfn.XLOOKUP(C15,C16:C$34,Q16:Q$34,0,0,1)-G15*K15)/L15,_xlfn.XLOOKUP(C15,C16:C$34,Q16:Q$34,,0,1)),0))</f>
        <v>0</v>
      </c>
      <c r="R15" s="59" cm="1">
        <f t="array" ref="R15">IF(_xlfn.XLOOKUP(C15,I$2:I15,I$2:I15,0,0,-1)=C15,0,IF(AND(H15&lt;&gt;"0",H15&lt;Resumen!$B$3,_xlfn.XLOOKUP(C15,C$2:C984,L$2:L984,,0,1)&lt;&gt;0),G15*K15,IFERROR(IF(_xlfn.XLOOKUP(C15,C16:C$34,L16:L$34,,0,1)&lt;0,IF(L15&gt;_xlfn.XLOOKUP(C15,C16:C$34,L16:L$34,,0,1),D15*_xlfn.XLOOKUP(C15,C16:C$34,Q16:Q$34,,0,1)+G15*K15,0),IF(_xlfn.XLOOKUP(C15,C16:C$34,L16:L$34,,0,1)&gt;0,IF(L15&lt;_xlfn.XLOOKUP(C15,C16:C$34,L16:L$34,,0,1),+G15*K15-_xlfn.XLOOKUP(C15,C16:C$34,Q16:Q$34,,0,1)*-D15*MAX(1,P15/_xlfn.XLOOKUP(C15,C16:C$34,O16:O$34,P15,0,1)),0),0)),0)))</f>
        <v>290.85218904200008</v>
      </c>
      <c r="S15" s="56" cm="1">
        <f t="array" ref="S15">IF(AND(H15&lt;&gt;"0",R15&lt;&gt;0),1,IF(R15=0,"-",IF(D15&lt;0, _xlfn.LET(_xlpm.v_cant, ABS(D15), _xlpm.v_fecha, A15, _xlpm.v_ticker, C15, _xlpm.rango_f, A16:A$1000, _xlpm.rango_t, D16:D$1000, _xlpm.filtro, C16:C$1000=_xlpm.v_ticker, _xlpm.c_fechas, _xlfn._xlws.FILTER(_xlpm.rango_f, _xlpm.filtro*(_xlpm.rango_t&gt;0), _xlpm.v_fecha), _xlpm.c_cants, _xlfn._xlws.FILTER(_xlpm.rango_t, _xlpm.filtro*(_xlpm.rango_t&gt;0), 0), _xlpm.v_acums_pasadas, ABS(SUMIFS(D16:D$1000, C16:C$1000, _xlpm.v_ticker, D16:D$1000,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16" spans="1:19" x14ac:dyDescent="0.45">
      <c r="A16" s="12">
        <v>46093</v>
      </c>
      <c r="B16" s="3" t="s">
        <v>222</v>
      </c>
      <c r="C16" s="3" t="s">
        <v>247</v>
      </c>
      <c r="D16" s="3">
        <v>-1</v>
      </c>
      <c r="E16" s="3">
        <v>0.95</v>
      </c>
      <c r="F16" s="3">
        <v>-1.05124</v>
      </c>
      <c r="G16" s="3">
        <v>93.948759999999993</v>
      </c>
      <c r="H16" s="14">
        <f t="shared" si="0"/>
        <v>46122</v>
      </c>
      <c r="I16" s="60" t="str" cm="1">
        <f t="array" ref="I16">IF(MID(C16,13,1)="C","Call",IF(MID(C16,13,1)="P","Put",IF(D16&gt;0,_xlfn._xlws.FILTER(C17:C$100,(ISNUMBER(SEARCH(C16,C17:C$100)))*(J17:J$100=E16)*((($B16="assignment")*(I17:I$100="put")*(D17:D$100&lt;0))+(($B16="exercise")*(I17:I$100="call")*(D17:D$100&gt;0)))*(H17:H$100=_xlfn.MINIFS(H17:H$100,C17:C$100,"*"&amp;C16&amp;"*",J17:J$100,E16,I17:I$100,IF(B16="assignment","put","call"),D17:D$100,IF(B16="assignment","&lt;0","&gt;0"),H17:H$100,"&gt;="&amp;A16)),""),"")))</f>
        <v>Put</v>
      </c>
      <c r="J16" s="9">
        <f t="shared" si="1"/>
        <v>20</v>
      </c>
      <c r="K16" s="9">
        <v>17.8368</v>
      </c>
      <c r="L16" s="5">
        <f>SUMIF(C16:C$33,C16,D16:D$33)</f>
        <v>-1</v>
      </c>
      <c r="M16" s="10" cm="1">
        <f t="array" ref="M16">IF(L16&gt;0,IF(L16&gt;_xlfn.XLOOKUP(C16,C17:C$34,L17:L$34,0,0,1),(_xlfn.XLOOKUP(C16,C17:C$34,M17:M$34,0,0,1)*_xlfn.XLOOKUP(C16,C17:C$34,L17:L$34,0,0,1)-G16*K16+_xlfn.XLOOKUP(I16,C17:C$34,M17:M$34,0,0,1)*_xlfn.XLOOKUP(I16,C17:C$34,L17:L$34,0,0,1)/D16*100)/L16,_xlfn.XLOOKUP(C16,C17:C$34,M17:M$34,0,0,1)),IF(L16&lt;0,IF(L16&lt;_xlfn.XLOOKUP(C16,C17:C$34,L17:L$34,0,0,1),(_xlfn.XLOOKUP(C16,C17:C$34,M17:M$34,0,0,1)*_xlfn.XLOOKUP(C16,C17:C$34,L17:L$34,0,0,1)-G16*K16)/L16,_xlfn.XLOOKUP(C16,C17:C$34,M17:M$34,0,0,1)),0))</f>
        <v>1675.7452423679999</v>
      </c>
      <c r="N16" s="10" cm="1">
        <f t="array" ref="N16">IF(_xlfn.XLOOKUP(C16,I$2:I16,I$2:I16,0,0,-1)=C16,0,IF(AND(H16&lt;&gt;"0",H16&lt;Resumen!$B$3,_xlfn.XLOOKUP(C16,C$2:C985,L$2:L985,,0,1)&lt;&gt;0),G16*K16,IFERROR(IF(_xlfn.XLOOKUP(C16,C17:C$34,L17:L$34,,0,1)&lt;0,IF(L16&gt;_xlfn.XLOOKUP(C16,C17:C$34,L17:L$34,,0,1),D16*_xlfn.XLOOKUP(C16,C17:C$34,M17:M$34,,0,1)+G16*K16,0),IF(_xlfn.XLOOKUP(C16,C17:C$34,L17:L$34,,0,1)&gt;0,IF(L16&lt;_xlfn.XLOOKUP(C16,C17:C$34,L17:L$34,,0,1),G16*K16-_xlfn.XLOOKUP(C16,C17:C$34,M17:M$34,,0,1)*-D16,0),0)),0)))</f>
        <v>0</v>
      </c>
      <c r="O16" s="56">
        <v>145.54400000000001</v>
      </c>
      <c r="P16" s="56">
        <v>144.30699999999999</v>
      </c>
      <c r="Q16" s="10" cm="1">
        <f t="array" ref="Q16">IF(L16&gt;0,IF(L16&gt;_xlfn.XLOOKUP(C16,C17:C$34,L17:L$34,0,0,1),(_xlfn.XLOOKUP(C16,C17:C$34,Q17:Q$34,0,0,1)*MAX(1,O16/_xlfn.XLOOKUP(C16,C17:C$1000,O17:O$1000,O16,0,1))*_xlfn.XLOOKUP(C16,C17:C$1000,L17:L$1000,0,0,1)+IF(_xlfn.XLOOKUP(I16,C17:C$34,I17:I$34,0,0,1)="put",-_xlfn.XLOOKUP(I16,C17:C$34,Q17:Q$34,0,0,1)*D16/100,_xlfn.XLOOKUP(I16,C17:C$34,Q17:Q$34,0,0,1)*D16/100)-G16*K16)/L16,_xlfn.XLOOKUP(C16,C17:C$34,Q17:Q$34,,0,1)*MAX(1,O16/_xlfn.XLOOKUP(C16,C17:C$1000,O17:O$1000,O16,0,1))),IF(L16&lt;0,IF(L16&lt;_xlfn.XLOOKUP(C16,C17:C$34,L17:L$34,0,0,1),(_xlfn.XLOOKUP(C16,C17:C$34,Q17:Q$34,0,0,1)-G16*K16)/L16,_xlfn.XLOOKUP(C16,C17:C$34,Q17:Q$34,,0,1)),0))</f>
        <v>1675.7452423679999</v>
      </c>
      <c r="R16" s="59" cm="1">
        <f t="array" ref="R16">IF(_xlfn.XLOOKUP(C16,I$2:I16,I$2:I16,0,0,-1)=C16,0,IF(AND(H16&lt;&gt;"0",H16&lt;Resumen!$B$3,_xlfn.XLOOKUP(C16,C$2:C985,L$2:L985,,0,1)&lt;&gt;0),G16*K16,IFERROR(IF(_xlfn.XLOOKUP(C16,C17:C$34,L17:L$34,,0,1)&lt;0,IF(L16&gt;_xlfn.XLOOKUP(C16,C17:C$34,L17:L$34,,0,1),D16*_xlfn.XLOOKUP(C16,C17:C$34,Q17:Q$34,,0,1)+G16*K16,0),IF(_xlfn.XLOOKUP(C16,C17:C$34,L17:L$34,,0,1)&gt;0,IF(L16&lt;_xlfn.XLOOKUP(C16,C17:C$34,L17:L$34,,0,1),+G16*K16-_xlfn.XLOOKUP(C16,C17:C$34,Q17:Q$34,,0,1)*-D16*MAX(1,P16/_xlfn.XLOOKUP(C16,C17:C$34,O17:O$34,P16,0,1)),0),0)),0)))</f>
        <v>0</v>
      </c>
      <c r="S16" s="56" t="str" cm="1">
        <f t="array" ref="S16">IF(AND(H16&lt;&gt;"0",R16&lt;&gt;0),1,IF(R16=0,"-",IF(D16&lt;0, _xlfn.LET(_xlpm.v_cant, ABS(D16), _xlpm.v_fecha, A16, _xlpm.v_ticker, C16, _xlpm.rango_f, A17:A$1000, _xlpm.rango_t, D17:D$1000, _xlpm.filtro, C17:C$1000=_xlpm.v_ticker, _xlpm.c_fechas, _xlfn._xlws.FILTER(_xlpm.rango_f, _xlpm.filtro*(_xlpm.rango_t&gt;0), _xlpm.v_fecha), _xlpm.c_cants, _xlfn._xlws.FILTER(_xlpm.rango_t, _xlpm.filtro*(_xlpm.rango_t&gt;0), 0), _xlpm.v_acums_pasadas, ABS(SUMIFS(D17:D$1000, C17:C$1000, _xlpm.v_ticker, D17:D$1000,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17" spans="1:19" x14ac:dyDescent="0.45">
      <c r="A17" s="12">
        <v>46092</v>
      </c>
      <c r="B17" s="3" t="s">
        <v>222</v>
      </c>
      <c r="C17" s="3" t="s">
        <v>249</v>
      </c>
      <c r="D17" s="3">
        <v>-1</v>
      </c>
      <c r="E17" s="3">
        <v>3.68</v>
      </c>
      <c r="F17" s="3">
        <v>-0.70123999999999997</v>
      </c>
      <c r="G17" s="3">
        <v>367.29876000000002</v>
      </c>
      <c r="H17" s="14">
        <f t="shared" si="0"/>
        <v>46283</v>
      </c>
      <c r="I17" s="60" t="str" cm="1">
        <f t="array" ref="I17">IF(MID(C17,13,1)="C","Call",IF(MID(C17,13,1)="P","Put",IF(D17&gt;0,_xlfn._xlws.FILTER(C18:C$100,(ISNUMBER(SEARCH(C17,C18:C$100)))*(J18:J$100=E17)*((($B17="assignment")*(I18:I$100="put")*(D18:D$100&lt;0))+(($B17="exercise")*(I18:I$100="call")*(D18:D$100&gt;0)))*(H18:H$100=_xlfn.MINIFS(H18:H$100,C18:C$100,"*"&amp;C17&amp;"*",J18:J$100,E17,I18:I$100,IF(B17="assignment","put","call"),D18:D$100,IF(B17="assignment","&lt;0","&gt;0"),H18:H$100,"&gt;="&amp;A17)),""),"")))</f>
        <v>Put</v>
      </c>
      <c r="J17" s="9">
        <f t="shared" si="1"/>
        <v>35</v>
      </c>
      <c r="K17" s="9">
        <v>17.654299999999999</v>
      </c>
      <c r="L17" s="5">
        <f>SUMIF(C17:C$33,C17,D17:D$33)</f>
        <v>-1</v>
      </c>
      <c r="M17" s="10" cm="1">
        <f t="array" ref="M17">IF(L17&gt;0,IF(L17&gt;_xlfn.XLOOKUP(C17,C18:C$34,L18:L$34,0,0,1),(_xlfn.XLOOKUP(C17,C18:C$34,M18:M$34,0,0,1)*_xlfn.XLOOKUP(C17,C18:C$34,L18:L$34,0,0,1)-G17*K17+_xlfn.XLOOKUP(I17,C18:C$34,M18:M$34,0,0,1)*_xlfn.XLOOKUP(I17,C18:C$34,L18:L$34,0,0,1)/D17*100)/L17,_xlfn.XLOOKUP(C17,C18:C$34,M18:M$34,0,0,1)),IF(L17&lt;0,IF(L17&lt;_xlfn.XLOOKUP(C17,C18:C$34,L18:L$34,0,0,1),(_xlfn.XLOOKUP(C17,C18:C$34,M18:M$34,0,0,1)*_xlfn.XLOOKUP(C17,C18:C$34,L18:L$34,0,0,1)-G17*K17)/L17,_xlfn.XLOOKUP(C17,C18:C$34,M18:M$34,0,0,1)),0))</f>
        <v>6484.4024986679997</v>
      </c>
      <c r="N17" s="10" cm="1">
        <f t="array" ref="N17">IF(_xlfn.XLOOKUP(C17,I$2:I17,I$2:I17,0,0,-1)=C17,0,IF(AND(H17&lt;&gt;"0",H17&lt;Resumen!$B$3,_xlfn.XLOOKUP(C17,C$2:C986,L$2:L986,,0,1)&lt;&gt;0),G17*K17,IFERROR(IF(_xlfn.XLOOKUP(C17,C18:C$34,L18:L$34,,0,1)&lt;0,IF(L17&gt;_xlfn.XLOOKUP(C17,C18:C$34,L18:L$34,,0,1),D17*_xlfn.XLOOKUP(C17,C18:C$34,M18:M$34,,0,1)+G17*K17,0),IF(_xlfn.XLOOKUP(C17,C18:C$34,L18:L$34,,0,1)&gt;0,IF(L17&lt;_xlfn.XLOOKUP(C17,C18:C$34,L18:L$34,,0,1),G17*K17-_xlfn.XLOOKUP(C17,C18:C$34,M18:M$34,,0,1)*-D17,0),0)),0)))</f>
        <v>0</v>
      </c>
      <c r="O17" s="56">
        <v>145.54400000000001</v>
      </c>
      <c r="P17" s="56">
        <v>144.30699999999999</v>
      </c>
      <c r="Q17" s="10" cm="1">
        <f t="array" ref="Q17">IF(L17&gt;0,IF(L17&gt;_xlfn.XLOOKUP(C17,C18:C$34,L18:L$34,0,0,1),(_xlfn.XLOOKUP(C17,C18:C$34,Q18:Q$34,0,0,1)*MAX(1,O17/_xlfn.XLOOKUP(C17,C18:C$1000,O18:O$1000,O17,0,1))*_xlfn.XLOOKUP(C17,C18:C$1000,L18:L$1000,0,0,1)+IF(_xlfn.XLOOKUP(I17,C18:C$34,I18:I$34,0,0,1)="put",-_xlfn.XLOOKUP(I17,C18:C$34,Q18:Q$34,0,0,1)*D17/100,_xlfn.XLOOKUP(I17,C18:C$34,Q18:Q$34,0,0,1)*D17/100)-G17*K17)/L17,_xlfn.XLOOKUP(C17,C18:C$34,Q18:Q$34,,0,1)*MAX(1,O17/_xlfn.XLOOKUP(C17,C18:C$1000,O18:O$1000,O17,0,1))),IF(L17&lt;0,IF(L17&lt;_xlfn.XLOOKUP(C17,C18:C$34,L18:L$34,0,0,1),(_xlfn.XLOOKUP(C17,C18:C$34,Q18:Q$34,0,0,1)-G17*K17)/L17,_xlfn.XLOOKUP(C17,C18:C$34,Q18:Q$34,,0,1)),0))</f>
        <v>6484.4024986679997</v>
      </c>
      <c r="R17" s="59" cm="1">
        <f t="array" ref="R17">IF(_xlfn.XLOOKUP(C17,I$2:I17,I$2:I17,0,0,-1)=C17,0,IF(AND(H17&lt;&gt;"0",H17&lt;Resumen!$B$3,_xlfn.XLOOKUP(C17,C$2:C986,L$2:L986,,0,1)&lt;&gt;0),G17*K17,IFERROR(IF(_xlfn.XLOOKUP(C17,C18:C$34,L18:L$34,,0,1)&lt;0,IF(L17&gt;_xlfn.XLOOKUP(C17,C18:C$34,L18:L$34,,0,1),D17*_xlfn.XLOOKUP(C17,C18:C$34,Q18:Q$34,,0,1)+G17*K17,0),IF(_xlfn.XLOOKUP(C17,C18:C$34,L18:L$34,,0,1)&gt;0,IF(L17&lt;_xlfn.XLOOKUP(C17,C18:C$34,L18:L$34,,0,1),+G17*K17-_xlfn.XLOOKUP(C17,C18:C$34,Q18:Q$34,,0,1)*-D17*MAX(1,P17/_xlfn.XLOOKUP(C17,C18:C$34,O18:O$34,P17,0,1)),0),0)),0)))</f>
        <v>0</v>
      </c>
      <c r="S17" s="56" t="str" cm="1">
        <f t="array" ref="S17">IF(AND(H17&lt;&gt;"0",R17&lt;&gt;0),1,IF(R17=0,"-",IF(D17&lt;0, _xlfn.LET(_xlpm.v_cant, ABS(D17), _xlpm.v_fecha, A17, _xlpm.v_ticker, C17, _xlpm.rango_f, A18:A$1000, _xlpm.rango_t, D18:D$1000, _xlpm.filtro, C18:C$1000=_xlpm.v_ticker, _xlpm.c_fechas, _xlfn._xlws.FILTER(_xlpm.rango_f, _xlpm.filtro*(_xlpm.rango_t&gt;0), _xlpm.v_fecha), _xlpm.c_cants, _xlfn._xlws.FILTER(_xlpm.rango_t, _xlpm.filtro*(_xlpm.rango_t&gt;0), 0), _xlpm.v_acums_pasadas, ABS(SUMIFS(D18:D$1000, C18:C$1000, _xlpm.v_ticker, D18:D$1000,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18" spans="1:19" x14ac:dyDescent="0.45">
      <c r="A18" s="12">
        <v>46092</v>
      </c>
      <c r="B18" s="3" t="s">
        <v>224</v>
      </c>
      <c r="C18" s="3" t="s">
        <v>251</v>
      </c>
      <c r="D18" s="3">
        <v>1</v>
      </c>
      <c r="E18" s="3">
        <v>4.58</v>
      </c>
      <c r="F18" s="3">
        <v>-0.69794999999999996</v>
      </c>
      <c r="G18" s="3">
        <v>-458.69794999999999</v>
      </c>
      <c r="H18" s="14">
        <f t="shared" si="0"/>
        <v>46283</v>
      </c>
      <c r="I18" s="60" t="str" cm="1">
        <f t="array" ref="I18">IF(MID(C18,13,1)="C","Call",IF(MID(C18,13,1)="P","Put",IF(D18&gt;0,_xlfn._xlws.FILTER(C19:C$100,(ISNUMBER(SEARCH(C18,C19:C$100)))*(J19:J$100=E18)*((($B18="assignment")*(I19:I$100="put")*(D19:D$100&lt;0))+(($B18="exercise")*(I19:I$100="call")*(D19:D$100&gt;0)))*(H19:H$100=_xlfn.MINIFS(H19:H$100,C19:C$100,"*"&amp;C18&amp;"*",J19:J$100,E18,I19:I$100,IF(B18="assignment","put","call"),D19:D$100,IF(B18="assignment","&lt;0","&gt;0"),H19:H$100,"&gt;="&amp;A18)),""),"")))</f>
        <v>Call</v>
      </c>
      <c r="J18" s="9">
        <f t="shared" si="1"/>
        <v>40</v>
      </c>
      <c r="K18" s="9">
        <v>17.654299999999999</v>
      </c>
      <c r="L18" s="5">
        <f>SUMIF(C18:C$33,C18,D18:D$33)</f>
        <v>1</v>
      </c>
      <c r="M18" s="10" cm="1">
        <f t="array" ref="M18">IF(L18&gt;0,IF(L18&gt;_xlfn.XLOOKUP(C18,C19:C$34,L19:L$34,0,0,1),(_xlfn.XLOOKUP(C18,C19:C$34,M19:M$34,0,0,1)*_xlfn.XLOOKUP(C18,C19:C$34,L19:L$34,0,0,1)-G18*K18+_xlfn.XLOOKUP(I18,C19:C$34,M19:M$34,0,0,1)*_xlfn.XLOOKUP(I18,C19:C$34,L19:L$34,0,0,1)/D18*100)/L18,_xlfn.XLOOKUP(C18,C19:C$34,M19:M$34,0,0,1)),IF(L18&lt;0,IF(L18&lt;_xlfn.XLOOKUP(C18,C19:C$34,L19:L$34,0,0,1),(_xlfn.XLOOKUP(C18,C19:C$34,M19:M$34,0,0,1)*_xlfn.XLOOKUP(C18,C19:C$34,L19:L$34,0,0,1)-G18*K18)/L18,_xlfn.XLOOKUP(C18,C19:C$34,M19:M$34,0,0,1)),0))</f>
        <v>8097.9912186849997</v>
      </c>
      <c r="N18" s="10" cm="1">
        <f t="array" ref="N18">IF(_xlfn.XLOOKUP(C18,I$2:I18,I$2:I18,0,0,-1)=C18,0,IF(AND(H18&lt;&gt;"0",H18&lt;Resumen!$B$3,_xlfn.XLOOKUP(C18,C$2:C987,L$2:L987,,0,1)&lt;&gt;0),G18*K18,IFERROR(IF(_xlfn.XLOOKUP(C18,C19:C$34,L19:L$34,,0,1)&lt;0,IF(L18&gt;_xlfn.XLOOKUP(C18,C19:C$34,L19:L$34,,0,1),D18*_xlfn.XLOOKUP(C18,C19:C$34,M19:M$34,,0,1)+G18*K18,0),IF(_xlfn.XLOOKUP(C18,C19:C$34,L19:L$34,,0,1)&gt;0,IF(L18&lt;_xlfn.XLOOKUP(C18,C19:C$34,L19:L$34,,0,1),G18*K18-_xlfn.XLOOKUP(C18,C19:C$34,M19:M$34,,0,1)*-D18,0),0)),0)))</f>
        <v>0</v>
      </c>
      <c r="O18" s="56">
        <v>145.54400000000001</v>
      </c>
      <c r="P18" s="56">
        <v>144.30699999999999</v>
      </c>
      <c r="Q18" s="10" cm="1">
        <f t="array" ref="Q18">IF(L18&gt;0,IF(L18&gt;_xlfn.XLOOKUP(C18,C19:C$34,L19:L$34,0,0,1),(_xlfn.XLOOKUP(C18,C19:C$34,Q19:Q$34,0,0,1)*MAX(1,O18/_xlfn.XLOOKUP(C18,C19:C$1000,O19:O$1000,O18,0,1))*_xlfn.XLOOKUP(C18,C19:C$1000,L19:L$1000,0,0,1)+IF(_xlfn.XLOOKUP(I18,C19:C$34,I19:I$34,0,0,1)="put",-_xlfn.XLOOKUP(I18,C19:C$34,Q19:Q$34,0,0,1)*D18/100,_xlfn.XLOOKUP(I18,C19:C$34,Q19:Q$34,0,0,1)*D18/100)-G18*K18)/L18,_xlfn.XLOOKUP(C18,C19:C$34,Q19:Q$34,,0,1)*MAX(1,O18/_xlfn.XLOOKUP(C18,C19:C$1000,O19:O$1000,O18,0,1))),IF(L18&lt;0,IF(L18&lt;_xlfn.XLOOKUP(C18,C19:C$34,L19:L$34,0,0,1),(_xlfn.XLOOKUP(C18,C19:C$34,Q19:Q$34,0,0,1)-G18*K18)/L18,_xlfn.XLOOKUP(C18,C19:C$34,Q19:Q$34,,0,1)),0))</f>
        <v>8097.9912186849997</v>
      </c>
      <c r="R18" s="59" cm="1">
        <f t="array" ref="R18">IF(_xlfn.XLOOKUP(C18,I$2:I18,I$2:I18,0,0,-1)=C18,0,IF(AND(H18&lt;&gt;"0",H18&lt;Resumen!$B$3,_xlfn.XLOOKUP(C18,C$2:C987,L$2:L987,,0,1)&lt;&gt;0),G18*K18,IFERROR(IF(_xlfn.XLOOKUP(C18,C19:C$34,L19:L$34,,0,1)&lt;0,IF(L18&gt;_xlfn.XLOOKUP(C18,C19:C$34,L19:L$34,,0,1),D18*_xlfn.XLOOKUP(C18,C19:C$34,Q19:Q$34,,0,1)+G18*K18,0),IF(_xlfn.XLOOKUP(C18,C19:C$34,L19:L$34,,0,1)&gt;0,IF(L18&lt;_xlfn.XLOOKUP(C18,C19:C$34,L19:L$34,,0,1),+G18*K18-_xlfn.XLOOKUP(C18,C19:C$34,Q19:Q$34,,0,1)*-D18*MAX(1,P18/_xlfn.XLOOKUP(C18,C19:C$34,O19:O$34,P18,0,1)),0),0)),0)))</f>
        <v>0</v>
      </c>
      <c r="S18" s="56" t="str" cm="1">
        <f t="array" ref="S18">IF(AND(H18&lt;&gt;"0",R18&lt;&gt;0),1,IF(R18=0,"-",IF(D18&lt;0, _xlfn.LET(_xlpm.v_cant, ABS(D18), _xlpm.v_fecha, A18, _xlpm.v_ticker, C18, _xlpm.rango_f, A19:A$1000, _xlpm.rango_t, D19:D$1000, _xlpm.filtro, C19:C$1000=_xlpm.v_ticker, _xlpm.c_fechas, _xlfn._xlws.FILTER(_xlpm.rango_f, _xlpm.filtro*(_xlpm.rango_t&gt;0), _xlpm.v_fecha), _xlpm.c_cants, _xlfn._xlws.FILTER(_xlpm.rango_t, _xlpm.filtro*(_xlpm.rango_t&gt;0), 0), _xlpm.v_acums_pasadas, ABS(SUMIFS(D19:D$1000, C19:C$1000, _xlpm.v_ticker, D19:D$1000,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19" spans="1:19" x14ac:dyDescent="0.45">
      <c r="A19" s="12">
        <v>46091</v>
      </c>
      <c r="B19" s="3" t="s">
        <v>222</v>
      </c>
      <c r="C19" s="3" t="s">
        <v>253</v>
      </c>
      <c r="D19" s="3">
        <v>-1</v>
      </c>
      <c r="E19" s="3">
        <v>6.29</v>
      </c>
      <c r="F19" s="3">
        <v>-0.70123999999999997</v>
      </c>
      <c r="G19" s="3">
        <v>628.29876000000002</v>
      </c>
      <c r="H19" s="14">
        <f t="shared" si="0"/>
        <v>46136</v>
      </c>
      <c r="I19" s="60" t="str" cm="1">
        <f t="array" ref="I19">IF(MID(C19,13,1)="C","Call",IF(MID(C19,13,1)="P","Put",IF(D19&gt;0,_xlfn._xlws.FILTER(C20:C$100,(ISNUMBER(SEARCH(C19,C20:C$100)))*(J20:J$100=E19)*((($B19="assignment")*(I20:I$100="put")*(D20:D$100&lt;0))+(($B19="exercise")*(I20:I$100="call")*(D20:D$100&gt;0)))*(H20:H$100=_xlfn.MINIFS(H20:H$100,C20:C$100,"*"&amp;C19&amp;"*",J20:J$100,E19,I20:I$100,IF(B19="assignment","put","call"),D20:D$100,IF(B19="assignment","&lt;0","&gt;0"),H20:H$100,"&gt;="&amp;A19)),""),"")))</f>
        <v>Call</v>
      </c>
      <c r="J19" s="9">
        <f t="shared" si="1"/>
        <v>18</v>
      </c>
      <c r="K19" s="9">
        <v>17.503699999999998</v>
      </c>
      <c r="L19" s="5">
        <f>SUMIF(C19:C$33,C19,D19:D$33)</f>
        <v>0</v>
      </c>
      <c r="M19" s="10" cm="1">
        <f t="array" ref="M19">IF(L19&gt;0,IF(L19&gt;_xlfn.XLOOKUP(C19,C20:C$34,L20:L$34,0,0,1),(_xlfn.XLOOKUP(C19,C20:C$34,M20:M$34,0,0,1)*_xlfn.XLOOKUP(C19,C20:C$34,L20:L$34,0,0,1)-G19*K19+_xlfn.XLOOKUP(I19,C20:C$34,M20:M$34,0,0,1)*_xlfn.XLOOKUP(I19,C20:C$34,L20:L$34,0,0,1)/D19*100)/L19,_xlfn.XLOOKUP(C19,C20:C$34,M20:M$34,0,0,1)),IF(L19&lt;0,IF(L19&lt;_xlfn.XLOOKUP(C19,C20:C$34,L20:L$34,0,0,1),(_xlfn.XLOOKUP(C19,C20:C$34,M20:M$34,0,0,1)*_xlfn.XLOOKUP(C19,C20:C$34,L20:L$34,0,0,1)-G19*K19)/L19,_xlfn.XLOOKUP(C19,C20:C$34,M20:M$34,0,0,1)),0))</f>
        <v>0</v>
      </c>
      <c r="N19" s="10" cm="1">
        <f t="array" ref="N19">IF(_xlfn.XLOOKUP(C19,I$2:I19,I$2:I19,0,0,-1)=C19,0,IF(AND(H19&lt;&gt;"0",H19&lt;Resumen!$B$3,_xlfn.XLOOKUP(C19,C$2:C988,L$2:L988,,0,1)&lt;&gt;0),G19*K19,IFERROR(IF(_xlfn.XLOOKUP(C19,C20:C$34,L20:L$34,,0,1)&lt;0,IF(L19&gt;_xlfn.XLOOKUP(C19,C20:C$34,L20:L$34,,0,1),D19*_xlfn.XLOOKUP(C19,C20:C$34,M20:M$34,,0,1)+G19*K19,0),IF(_xlfn.XLOOKUP(C19,C20:C$34,L20:L$34,,0,1)&gt;0,IF(L19&lt;_xlfn.XLOOKUP(C19,C20:C$34,L20:L$34,,0,1),G19*K19-_xlfn.XLOOKUP(C19,C20:C$34,M20:M$34,,0,1)*-D19,0),0)),0)))</f>
        <v>8510.4353432619992</v>
      </c>
      <c r="O19" s="56">
        <v>145.54400000000001</v>
      </c>
      <c r="P19" s="56">
        <v>144.30699999999999</v>
      </c>
      <c r="Q19" s="10" cm="1">
        <f t="array" ref="Q19">IF(L19&gt;0,IF(L19&gt;_xlfn.XLOOKUP(C19,C20:C$34,L20:L$34,0,0,1),(_xlfn.XLOOKUP(C19,C20:C$34,Q20:Q$34,0,0,1)*MAX(1,O19/_xlfn.XLOOKUP(C19,C20:C$1000,O20:O$1000,O19,0,1))*_xlfn.XLOOKUP(C19,C20:C$1000,L20:L$1000,0,0,1)+IF(_xlfn.XLOOKUP(I19,C20:C$34,I20:I$34,0,0,1)="put",-_xlfn.XLOOKUP(I19,C20:C$34,Q20:Q$34,0,0,1)*D19/100,_xlfn.XLOOKUP(I19,C20:C$34,Q20:Q$34,0,0,1)*D19/100)-G19*K19)/L19,_xlfn.XLOOKUP(C19,C20:C$34,Q20:Q$34,,0,1)*MAX(1,O19/_xlfn.XLOOKUP(C19,C20:C$1000,O20:O$1000,O19,0,1))),IF(L19&lt;0,IF(L19&lt;_xlfn.XLOOKUP(C19,C20:C$34,L20:L$34,0,0,1),(_xlfn.XLOOKUP(C19,C20:C$34,Q20:Q$34,0,0,1)-G19*K19)/L19,_xlfn.XLOOKUP(C19,C20:C$34,Q20:Q$34,,0,1)),0))</f>
        <v>0</v>
      </c>
      <c r="R19" s="59" cm="1">
        <f t="array" ref="R19">IF(_xlfn.XLOOKUP(C19,I$2:I19,I$2:I19,0,0,-1)=C19,0,IF(AND(H19&lt;&gt;"0",H19&lt;Resumen!$B$3,_xlfn.XLOOKUP(C19,C$2:C988,L$2:L988,,0,1)&lt;&gt;0),G19*K19,IFERROR(IF(_xlfn.XLOOKUP(C19,C20:C$34,L20:L$34,,0,1)&lt;0,IF(L19&gt;_xlfn.XLOOKUP(C19,C20:C$34,L20:L$34,,0,1),D19*_xlfn.XLOOKUP(C19,C20:C$34,Q20:Q$34,,0,1)+G19*K19,0),IF(_xlfn.XLOOKUP(C19,C20:C$34,L20:L$34,,0,1)&gt;0,IF(L19&lt;_xlfn.XLOOKUP(C19,C20:C$34,L20:L$34,,0,1),+G19*K19-_xlfn.XLOOKUP(C19,C20:C$34,Q20:Q$34,,0,1)*-D19*MAX(1,P19/_xlfn.XLOOKUP(C19,C20:C$34,O20:O$34,P19,0,1)),0),0)),0)))</f>
        <v>8510.4353432619992</v>
      </c>
      <c r="S19" s="56" cm="1">
        <f t="array" ref="S19">IF(AND(H19&lt;&gt;"0",R19&lt;&gt;0),1,IF(R19=0,"-",IF(D19&lt;0, _xlfn.LET(_xlpm.v_cant, ABS(D19), _xlpm.v_fecha, A19, _xlpm.v_ticker, C19, _xlpm.rango_f, A20:A$1000, _xlpm.rango_t, D20:D$1000, _xlpm.filtro, C20:C$1000=_xlpm.v_ticker, _xlpm.c_fechas, _xlfn._xlws.FILTER(_xlpm.rango_f, _xlpm.filtro*(_xlpm.rango_t&gt;0), _xlpm.v_fecha), _xlpm.c_cants, _xlfn._xlws.FILTER(_xlpm.rango_t, _xlpm.filtro*(_xlpm.rango_t&gt;0), 0), _xlpm.v_acums_pasadas, ABS(SUMIFS(D20:D$1000, C20:C$1000, _xlpm.v_ticker, D20:D$1000,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20" spans="1:19" x14ac:dyDescent="0.45">
      <c r="A20" s="12">
        <v>46091</v>
      </c>
      <c r="B20" s="3" t="s">
        <v>224</v>
      </c>
      <c r="C20" s="3" t="s">
        <v>255</v>
      </c>
      <c r="D20" s="3">
        <v>1</v>
      </c>
      <c r="E20" s="3">
        <v>0.49</v>
      </c>
      <c r="F20" s="3">
        <v>-0.69794999999999996</v>
      </c>
      <c r="G20" s="3">
        <v>-49.697949999999999</v>
      </c>
      <c r="H20" s="14">
        <f t="shared" si="0"/>
        <v>46136</v>
      </c>
      <c r="I20" s="60" t="str" cm="1">
        <f t="array" ref="I20">IF(MID(C20,13,1)="C","Call",IF(MID(C20,13,1)="P","Put",IF(D20&gt;0,_xlfn._xlws.FILTER(C21:C$100,(ISNUMBER(SEARCH(C20,C21:C$100)))*(J21:J$100=E20)*((($B20="assignment")*(I21:I$100="put")*(D21:D$100&lt;0))+(($B20="exercise")*(I21:I$100="call")*(D21:D$100&gt;0)))*(H21:H$100=_xlfn.MINIFS(H21:H$100,C21:C$100,"*"&amp;C20&amp;"*",J21:J$100,E20,I21:I$100,IF(B20="assignment","put","call"),D21:D$100,IF(B20="assignment","&lt;0","&gt;0"),H21:H$100,"&gt;="&amp;A20)),""),"")))</f>
        <v>Put</v>
      </c>
      <c r="J20" s="9">
        <f t="shared" si="1"/>
        <v>16</v>
      </c>
      <c r="K20" s="9">
        <v>17.503699999999998</v>
      </c>
      <c r="L20" s="5">
        <f>SUMIF(C20:C$33,C20,D20:D$33)</f>
        <v>0</v>
      </c>
      <c r="M20" s="10" cm="1">
        <f t="array" ref="M20">IF(L20&gt;0,IF(L20&gt;_xlfn.XLOOKUP(C20,C21:C$34,L21:L$34,0,0,1),(_xlfn.XLOOKUP(C20,C21:C$34,M21:M$34,0,0,1)*_xlfn.XLOOKUP(C20,C21:C$34,L21:L$34,0,0,1)-G20*K20+_xlfn.XLOOKUP(I20,C21:C$34,M21:M$34,0,0,1)*_xlfn.XLOOKUP(I20,C21:C$34,L21:L$34,0,0,1)/D20*100)/L20,_xlfn.XLOOKUP(C20,C21:C$34,M21:M$34,0,0,1)),IF(L20&lt;0,IF(L20&lt;_xlfn.XLOOKUP(C20,C21:C$34,L21:L$34,0,0,1),(_xlfn.XLOOKUP(C20,C21:C$34,M21:M$34,0,0,1)*_xlfn.XLOOKUP(C20,C21:C$34,L21:L$34,0,0,1)-G20*K20)/L20,_xlfn.XLOOKUP(C20,C21:C$34,M21:M$34,0,0,1)),0))</f>
        <v>0</v>
      </c>
      <c r="N20" s="10" cm="1">
        <f t="array" ref="N20">IF(_xlfn.XLOOKUP(C20,I$2:I20,I$2:I20,0,0,-1)=C20,0,IF(AND(H20&lt;&gt;"0",H20&lt;Resumen!$B$3,_xlfn.XLOOKUP(C20,C$2:C989,L$2:L989,,0,1)&lt;&gt;0),G20*K20,IFERROR(IF(_xlfn.XLOOKUP(C20,C21:C$34,L21:L$34,,0,1)&lt;0,IF(L20&gt;_xlfn.XLOOKUP(C20,C21:C$34,L21:L$34,,0,1),D20*_xlfn.XLOOKUP(C20,C21:C$34,M21:M$34,,0,1)+G20*K20,0),IF(_xlfn.XLOOKUP(C20,C21:C$34,L21:L$34,,0,1)&gt;0,IF(L20&lt;_xlfn.XLOOKUP(C20,C21:C$34,L21:L$34,,0,1),G20*K20-_xlfn.XLOOKUP(C20,C21:C$34,M21:M$34,,0,1)*-D20,0),0)),0)))</f>
        <v>3006.6461731049999</v>
      </c>
      <c r="O20" s="56">
        <v>145.54400000000001</v>
      </c>
      <c r="P20" s="56">
        <v>144.30699999999999</v>
      </c>
      <c r="Q20" s="10" cm="1">
        <f t="array" ref="Q20">IF(L20&gt;0,IF(L20&gt;_xlfn.XLOOKUP(C20,C21:C$34,L21:L$34,0,0,1),(_xlfn.XLOOKUP(C20,C21:C$34,Q21:Q$34,0,0,1)*MAX(1,O20/_xlfn.XLOOKUP(C20,C21:C$1000,O21:O$1000,O20,0,1))*_xlfn.XLOOKUP(C20,C21:C$1000,L21:L$1000,0,0,1)+IF(_xlfn.XLOOKUP(I20,C21:C$34,I21:I$34,0,0,1)="put",-_xlfn.XLOOKUP(I20,C21:C$34,Q21:Q$34,0,0,1)*D20/100,_xlfn.XLOOKUP(I20,C21:C$34,Q21:Q$34,0,0,1)*D20/100)-G20*K20)/L20,_xlfn.XLOOKUP(C20,C21:C$34,Q21:Q$34,,0,1)*MAX(1,O20/_xlfn.XLOOKUP(C20,C21:C$1000,O21:O$1000,O20,0,1))),IF(L20&lt;0,IF(L20&lt;_xlfn.XLOOKUP(C20,C21:C$34,L21:L$34,0,0,1),(_xlfn.XLOOKUP(C20,C21:C$34,Q21:Q$34,0,0,1)-G20*K20)/L20,_xlfn.XLOOKUP(C20,C21:C$34,Q21:Q$34,,0,1)),0))</f>
        <v>0</v>
      </c>
      <c r="R20" s="59" cm="1">
        <f t="array" ref="R20">IF(_xlfn.XLOOKUP(C20,I$2:I20,I$2:I20,0,0,-1)=C20,0,IF(AND(H20&lt;&gt;"0",H20&lt;Resumen!$B$3,_xlfn.XLOOKUP(C20,C$2:C989,L$2:L989,,0,1)&lt;&gt;0),G20*K20,IFERROR(IF(_xlfn.XLOOKUP(C20,C21:C$34,L21:L$34,,0,1)&lt;0,IF(L20&gt;_xlfn.XLOOKUP(C20,C21:C$34,L21:L$34,,0,1),D20*_xlfn.XLOOKUP(C20,C21:C$34,Q21:Q$34,,0,1)+G20*K20,0),IF(_xlfn.XLOOKUP(C20,C21:C$34,L21:L$34,,0,1)&gt;0,IF(L20&lt;_xlfn.XLOOKUP(C20,C21:C$34,L21:L$34,,0,1),+G20*K20-_xlfn.XLOOKUP(C20,C21:C$34,Q21:Q$34,,0,1)*-D20*MAX(1,P20/_xlfn.XLOOKUP(C20,C21:C$34,O21:O$34,P20,0,1)),0),0)),0)))</f>
        <v>3006.6461731049999</v>
      </c>
      <c r="S20" s="56" cm="1">
        <f t="array" ref="S20">IF(AND(H20&lt;&gt;"0",R20&lt;&gt;0),1,IF(R20=0,"-",IF(D20&lt;0, _xlfn.LET(_xlpm.v_cant, ABS(D20), _xlpm.v_fecha, A20, _xlpm.v_ticker, C20, _xlpm.rango_f, A21:A$1000, _xlpm.rango_t, D21:D$1000, _xlpm.filtro, C21:C$1000=_xlpm.v_ticker, _xlpm.c_fechas, _xlfn._xlws.FILTER(_xlpm.rango_f, _xlpm.filtro*(_xlpm.rango_t&gt;0), _xlpm.v_fecha), _xlpm.c_cants, _xlfn._xlws.FILTER(_xlpm.rango_t, _xlpm.filtro*(_xlpm.rango_t&gt;0), 0), _xlpm.v_acums_pasadas, ABS(SUMIFS(D21:D$1000, C21:C$1000, _xlpm.v_ticker, D21:D$1000,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21" spans="1:19" x14ac:dyDescent="0.45">
      <c r="A21" s="12">
        <v>46087</v>
      </c>
      <c r="B21" s="3" t="s">
        <v>222</v>
      </c>
      <c r="C21" s="3" t="s">
        <v>257</v>
      </c>
      <c r="D21" s="3">
        <v>-1</v>
      </c>
      <c r="E21" s="3">
        <v>2.3199999999999998</v>
      </c>
      <c r="F21" s="3">
        <v>-0.25124000000000002</v>
      </c>
      <c r="G21" s="3">
        <v>231.74876</v>
      </c>
      <c r="H21" s="14">
        <f t="shared" si="0"/>
        <v>46402</v>
      </c>
      <c r="I21" s="60" t="str" cm="1">
        <f t="array" ref="I21">IF(MID(C21,13,1)="C","Call",IF(MID(C21,13,1)="P","Put",IF(D21&gt;0,_xlfn._xlws.FILTER(C22:C$100,(ISNUMBER(SEARCH(C21,C22:C$100)))*(J22:J$100=E21)*((($B21="assignment")*(I22:I$100="put")*(D22:D$100&lt;0))+(($B21="exercise")*(I22:I$100="call")*(D22:D$100&gt;0)))*(H22:H$100=_xlfn.MINIFS(H22:H$100,C22:C$100,"*"&amp;C21&amp;"*",J22:J$100,E21,I22:I$100,IF(B21="assignment","put","call"),D22:D$100,IF(B21="assignment","&lt;0","&gt;0"),H22:H$100,"&gt;="&amp;A21)),""),"")))</f>
        <v>Put</v>
      </c>
      <c r="J21" s="9">
        <f t="shared" si="1"/>
        <v>10</v>
      </c>
      <c r="K21" s="9">
        <v>17.796199999999999</v>
      </c>
      <c r="L21" s="5">
        <f>SUMIF(C21:C$33,C21,D21:D$33)</f>
        <v>-1</v>
      </c>
      <c r="M21" s="10" cm="1">
        <f t="array" ref="M21">IF(L21&gt;0,IF(L21&gt;_xlfn.XLOOKUP(C21,C22:C$34,L22:L$34,0,0,1),(_xlfn.XLOOKUP(C21,C22:C$34,M22:M$34,0,0,1)*_xlfn.XLOOKUP(C21,C22:C$34,L22:L$34,0,0,1)-G21*K21+_xlfn.XLOOKUP(I21,C22:C$34,M22:M$34,0,0,1)*_xlfn.XLOOKUP(I21,C22:C$34,L22:L$34,0,0,1)/D21*100)/L21,_xlfn.XLOOKUP(C21,C22:C$34,M22:M$34,0,0,1)),IF(L21&lt;0,IF(L21&lt;_xlfn.XLOOKUP(C21,C22:C$34,L22:L$34,0,0,1),(_xlfn.XLOOKUP(C21,C22:C$34,M22:M$34,0,0,1)*_xlfn.XLOOKUP(C21,C22:C$34,L22:L$34,0,0,1)-G21*K21)/L21,_xlfn.XLOOKUP(C21,C22:C$34,M22:M$34,0,0,1)),0))</f>
        <v>4124.247282712</v>
      </c>
      <c r="N21" s="10" cm="1">
        <f t="array" ref="N21">IF(_xlfn.XLOOKUP(C21,I$2:I21,I$2:I21,0,0,-1)=C21,0,IF(AND(H21&lt;&gt;"0",H21&lt;Resumen!$B$3,_xlfn.XLOOKUP(C21,C$2:C990,L$2:L990,,0,1)&lt;&gt;0),G21*K21,IFERROR(IF(_xlfn.XLOOKUP(C21,C22:C$34,L22:L$34,,0,1)&lt;0,IF(L21&gt;_xlfn.XLOOKUP(C21,C22:C$34,L22:L$34,,0,1),D21*_xlfn.XLOOKUP(C21,C22:C$34,M22:M$34,,0,1)+G21*K21,0),IF(_xlfn.XLOOKUP(C21,C22:C$34,L22:L$34,,0,1)&gt;0,IF(L21&lt;_xlfn.XLOOKUP(C21,C22:C$34,L22:L$34,,0,1),G21*K21-_xlfn.XLOOKUP(C21,C22:C$34,M22:M$34,,0,1)*-D21,0),0)),0)))</f>
        <v>0</v>
      </c>
      <c r="O21" s="56">
        <v>145.54400000000001</v>
      </c>
      <c r="P21" s="56">
        <v>144.30699999999999</v>
      </c>
      <c r="Q21" s="10" cm="1">
        <f t="array" ref="Q21">IF(L21&gt;0,IF(L21&gt;_xlfn.XLOOKUP(C21,C22:C$34,L22:L$34,0,0,1),(_xlfn.XLOOKUP(C21,C22:C$34,Q22:Q$34,0,0,1)*MAX(1,O21/_xlfn.XLOOKUP(C21,C22:C$1000,O22:O$1000,O21,0,1))*_xlfn.XLOOKUP(C21,C22:C$1000,L22:L$1000,0,0,1)+IF(_xlfn.XLOOKUP(I21,C22:C$34,I22:I$34,0,0,1)="put",-_xlfn.XLOOKUP(I21,C22:C$34,Q22:Q$34,0,0,1)*D21/100,_xlfn.XLOOKUP(I21,C22:C$34,Q22:Q$34,0,0,1)*D21/100)-G21*K21)/L21,_xlfn.XLOOKUP(C21,C22:C$34,Q22:Q$34,,0,1)*MAX(1,O21/_xlfn.XLOOKUP(C21,C22:C$1000,O22:O$1000,O21,0,1))),IF(L21&lt;0,IF(L21&lt;_xlfn.XLOOKUP(C21,C22:C$34,L22:L$34,0,0,1),(_xlfn.XLOOKUP(C21,C22:C$34,Q22:Q$34,0,0,1)-G21*K21)/L21,_xlfn.XLOOKUP(C21,C22:C$34,Q22:Q$34,,0,1)),0))</f>
        <v>4124.247282712</v>
      </c>
      <c r="R21" s="59" cm="1">
        <f t="array" ref="R21">IF(_xlfn.XLOOKUP(C21,I$2:I21,I$2:I21,0,0,-1)=C21,0,IF(AND(H21&lt;&gt;"0",H21&lt;Resumen!$B$3,_xlfn.XLOOKUP(C21,C$2:C990,L$2:L990,,0,1)&lt;&gt;0),G21*K21,IFERROR(IF(_xlfn.XLOOKUP(C21,C22:C$34,L22:L$34,,0,1)&lt;0,IF(L21&gt;_xlfn.XLOOKUP(C21,C22:C$34,L22:L$34,,0,1),D21*_xlfn.XLOOKUP(C21,C22:C$34,Q22:Q$34,,0,1)+G21*K21,0),IF(_xlfn.XLOOKUP(C21,C22:C$34,L22:L$34,,0,1)&gt;0,IF(L21&lt;_xlfn.XLOOKUP(C21,C22:C$34,L22:L$34,,0,1),+G21*K21-_xlfn.XLOOKUP(C21,C22:C$34,Q22:Q$34,,0,1)*-D21*MAX(1,P21/_xlfn.XLOOKUP(C21,C22:C$34,O22:O$34,P21,0,1)),0),0)),0)))</f>
        <v>0</v>
      </c>
      <c r="S21" s="56" t="str" cm="1">
        <f t="array" ref="S21">IF(AND(H21&lt;&gt;"0",R21&lt;&gt;0),1,IF(R21=0,"-",IF(D21&lt;0, _xlfn.LET(_xlpm.v_cant, ABS(D21), _xlpm.v_fecha, A21, _xlpm.v_ticker, C21, _xlpm.rango_f, A22:A$1000, _xlpm.rango_t, D22:D$1000, _xlpm.filtro, C22:C$1000=_xlpm.v_ticker, _xlpm.c_fechas, _xlfn._xlws.FILTER(_xlpm.rango_f, _xlpm.filtro*(_xlpm.rango_t&gt;0), _xlpm.v_fecha), _xlpm.c_cants, _xlfn._xlws.FILTER(_xlpm.rango_t, _xlpm.filtro*(_xlpm.rango_t&gt;0), 0), _xlpm.v_acums_pasadas, ABS(SUMIFS(D22:D$1000, C22:C$1000, _xlpm.v_ticker, D22:D$1000,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2" spans="1:19" x14ac:dyDescent="0.45">
      <c r="A22" s="12">
        <v>46087</v>
      </c>
      <c r="B22" s="3" t="s">
        <v>224</v>
      </c>
      <c r="C22" s="3" t="s">
        <v>259</v>
      </c>
      <c r="D22" s="3">
        <v>1</v>
      </c>
      <c r="E22" s="3">
        <v>1.21</v>
      </c>
      <c r="F22" s="3">
        <v>-0.24795</v>
      </c>
      <c r="G22" s="3">
        <v>-121.24795</v>
      </c>
      <c r="H22" s="14">
        <f t="shared" si="0"/>
        <v>46402</v>
      </c>
      <c r="I22" s="60" t="str" cm="1">
        <f t="array" ref="I22">IF(MID(C22,13,1)="C","Call",IF(MID(C22,13,1)="P","Put",IF(D22&gt;0,_xlfn._xlws.FILTER(C23:C$100,(ISNUMBER(SEARCH(C22,C23:C$100)))*(J23:J$100=E22)*((($B22="assignment")*(I23:I$100="put")*(D23:D$100&lt;0))+(($B22="exercise")*(I23:I$100="call")*(D23:D$100&gt;0)))*(H23:H$100=_xlfn.MINIFS(H23:H$100,C23:C$100,"*"&amp;C22&amp;"*",J23:J$100,E22,I23:I$100,IF(B22="assignment","put","call"),D23:D$100,IF(B22="assignment","&lt;0","&gt;0"),H23:H$100,"&gt;="&amp;A22)),""),"")))</f>
        <v>Call</v>
      </c>
      <c r="J22" s="9">
        <f t="shared" si="1"/>
        <v>13</v>
      </c>
      <c r="K22" s="9">
        <v>17.796199999999999</v>
      </c>
      <c r="L22" s="5">
        <f>SUMIF(C22:C$33,C22,D22:D$33)</f>
        <v>1</v>
      </c>
      <c r="M22" s="10" cm="1">
        <f t="array" ref="M22">IF(L22&gt;0,IF(L22&gt;_xlfn.XLOOKUP(C22,C23:C$34,L23:L$34,0,0,1),(_xlfn.XLOOKUP(C22,C23:C$34,M23:M$34,0,0,1)*_xlfn.XLOOKUP(C22,C23:C$34,L23:L$34,0,0,1)-G22*K22+_xlfn.XLOOKUP(I22,C23:C$34,M23:M$34,0,0,1)*_xlfn.XLOOKUP(I22,C23:C$34,L23:L$34,0,0,1)/D22*100)/L22,_xlfn.XLOOKUP(C22,C23:C$34,M23:M$34,0,0,1)),IF(L22&lt;0,IF(L22&lt;_xlfn.XLOOKUP(C22,C23:C$34,L23:L$34,0,0,1),(_xlfn.XLOOKUP(C22,C23:C$34,M23:M$34,0,0,1)*_xlfn.XLOOKUP(C22,C23:C$34,L23:L$34,0,0,1)-G22*K22)/L22,_xlfn.XLOOKUP(C22,C23:C$34,M23:M$34,0,0,1)),0))</f>
        <v>2157.7527677899998</v>
      </c>
      <c r="N22" s="10" cm="1">
        <f t="array" ref="N22">IF(_xlfn.XLOOKUP(C22,I$2:I22,I$2:I22,0,0,-1)=C22,0,IF(AND(H22&lt;&gt;"0",H22&lt;Resumen!$B$3,_xlfn.XLOOKUP(C22,C$2:C991,L$2:L991,,0,1)&lt;&gt;0),G22*K22,IFERROR(IF(_xlfn.XLOOKUP(C22,C23:C$34,L23:L$34,,0,1)&lt;0,IF(L22&gt;_xlfn.XLOOKUP(C22,C23:C$34,L23:L$34,,0,1),D22*_xlfn.XLOOKUP(C22,C23:C$34,M23:M$34,,0,1)+G22*K22,0),IF(_xlfn.XLOOKUP(C22,C23:C$34,L23:L$34,,0,1)&gt;0,IF(L22&lt;_xlfn.XLOOKUP(C22,C23:C$34,L23:L$34,,0,1),G22*K22-_xlfn.XLOOKUP(C22,C23:C$34,M23:M$34,,0,1)*-D22,0),0)),0)))</f>
        <v>0</v>
      </c>
      <c r="O22" s="56">
        <v>145.54400000000001</v>
      </c>
      <c r="P22" s="56">
        <v>144.30699999999999</v>
      </c>
      <c r="Q22" s="10" cm="1">
        <f t="array" ref="Q22">IF(L22&gt;0,IF(L22&gt;_xlfn.XLOOKUP(C22,C23:C$34,L23:L$34,0,0,1),(_xlfn.XLOOKUP(C22,C23:C$34,Q23:Q$34,0,0,1)*MAX(1,O22/_xlfn.XLOOKUP(C22,C23:C$1000,O23:O$1000,O22,0,1))*_xlfn.XLOOKUP(C22,C23:C$1000,L23:L$1000,0,0,1)+IF(_xlfn.XLOOKUP(I22,C23:C$34,I23:I$34,0,0,1)="put",-_xlfn.XLOOKUP(I22,C23:C$34,Q23:Q$34,0,0,1)*D22/100,_xlfn.XLOOKUP(I22,C23:C$34,Q23:Q$34,0,0,1)*D22/100)-G22*K22)/L22,_xlfn.XLOOKUP(C22,C23:C$34,Q23:Q$34,,0,1)*MAX(1,O22/_xlfn.XLOOKUP(C22,C23:C$1000,O23:O$1000,O22,0,1))),IF(L22&lt;0,IF(L22&lt;_xlfn.XLOOKUP(C22,C23:C$34,L23:L$34,0,0,1),(_xlfn.XLOOKUP(C22,C23:C$34,Q23:Q$34,0,0,1)-G22*K22)/L22,_xlfn.XLOOKUP(C22,C23:C$34,Q23:Q$34,,0,1)),0))</f>
        <v>2157.7527677899998</v>
      </c>
      <c r="R22" s="59" cm="1">
        <f t="array" ref="R22">IF(_xlfn.XLOOKUP(C22,I$2:I22,I$2:I22,0,0,-1)=C22,0,IF(AND(H22&lt;&gt;"0",H22&lt;Resumen!$B$3,_xlfn.XLOOKUP(C22,C$2:C991,L$2:L991,,0,1)&lt;&gt;0),G22*K22,IFERROR(IF(_xlfn.XLOOKUP(C22,C23:C$34,L23:L$34,,0,1)&lt;0,IF(L22&gt;_xlfn.XLOOKUP(C22,C23:C$34,L23:L$34,,0,1),D22*_xlfn.XLOOKUP(C22,C23:C$34,Q23:Q$34,,0,1)+G22*K22,0),IF(_xlfn.XLOOKUP(C22,C23:C$34,L23:L$34,,0,1)&gt;0,IF(L22&lt;_xlfn.XLOOKUP(C22,C23:C$34,L23:L$34,,0,1),+G22*K22-_xlfn.XLOOKUP(C22,C23:C$34,Q23:Q$34,,0,1)*-D22*MAX(1,P22/_xlfn.XLOOKUP(C22,C23:C$34,O23:O$34,P22,0,1)),0),0)),0)))</f>
        <v>0</v>
      </c>
      <c r="S22" s="56" t="str" cm="1">
        <f t="array" ref="S22">IF(AND(H22&lt;&gt;"0",R22&lt;&gt;0),1,IF(R22=0,"-",IF(D22&lt;0, _xlfn.LET(_xlpm.v_cant, ABS(D22), _xlpm.v_fecha, A22, _xlpm.v_ticker, C22, _xlpm.rango_f, A23:A$1000, _xlpm.rango_t, D23:D$1000, _xlpm.filtro, C23:C$1000=_xlpm.v_ticker, _xlpm.c_fechas, _xlfn._xlws.FILTER(_xlpm.rango_f, _xlpm.filtro*(_xlpm.rango_t&gt;0), _xlpm.v_fecha), _xlpm.c_cants, _xlfn._xlws.FILTER(_xlpm.rango_t, _xlpm.filtro*(_xlpm.rango_t&gt;0), 0), _xlpm.v_acums_pasadas, ABS(SUMIFS(D23:D$1000, C23:C$1000, _xlpm.v_ticker, D23:D$1000,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3" spans="1:19" x14ac:dyDescent="0.45">
      <c r="A23" s="12">
        <v>46086</v>
      </c>
      <c r="B23" s="3" t="s">
        <v>224</v>
      </c>
      <c r="C23" s="3" t="s">
        <v>253</v>
      </c>
      <c r="D23" s="3">
        <v>1</v>
      </c>
      <c r="E23" s="3">
        <v>1.4</v>
      </c>
      <c r="F23" s="3">
        <v>-0.69794999999999996</v>
      </c>
      <c r="G23" s="3">
        <v>-140.69794999999999</v>
      </c>
      <c r="H23" s="14">
        <f t="shared" si="0"/>
        <v>46136</v>
      </c>
      <c r="I23" s="60" t="str" cm="1">
        <f t="array" ref="I23">IF(MID(C23,13,1)="C","Call",IF(MID(C23,13,1)="P","Put",IF(D23&gt;0,_xlfn._xlws.FILTER(C24:C$100,(ISNUMBER(SEARCH(C23,C24:C$100)))*(J24:J$100=E23)*((($B23="assignment")*(I24:I$100="put")*(D24:D$100&lt;0))+(($B23="exercise")*(I24:I$100="call")*(D24:D$100&gt;0)))*(H24:H$100=_xlfn.MINIFS(H24:H$100,C24:C$100,"*"&amp;C23&amp;"*",J24:J$100,E23,I24:I$100,IF(B23="assignment","put","call"),D24:D$100,IF(B23="assignment","&lt;0","&gt;0"),H24:H$100,"&gt;="&amp;A23)),""),"")))</f>
        <v>Call</v>
      </c>
      <c r="J23" s="9">
        <f t="shared" si="1"/>
        <v>18</v>
      </c>
      <c r="K23" s="9">
        <v>17.677</v>
      </c>
      <c r="L23" s="5">
        <f>SUMIF(C23:C$33,C23,D23:D$33)</f>
        <v>1</v>
      </c>
      <c r="M23" s="10" cm="1">
        <f t="array" ref="M23">IF(L23&gt;0,IF(L23&gt;_xlfn.XLOOKUP(C23,C24:C$34,L24:L$34,0,0,1),(_xlfn.XLOOKUP(C23,C24:C$34,M24:M$34,0,0,1)*_xlfn.XLOOKUP(C23,C24:C$34,L24:L$34,0,0,1)-G23*K23+_xlfn.XLOOKUP(I23,C24:C$34,M24:M$34,0,0,1)*_xlfn.XLOOKUP(I23,C24:C$34,L24:L$34,0,0,1)/D23*100)/L23,_xlfn.XLOOKUP(C23,C24:C$34,M24:M$34,0,0,1)),IF(L23&lt;0,IF(L23&lt;_xlfn.XLOOKUP(C23,C24:C$34,L24:L$34,0,0,1),(_xlfn.XLOOKUP(C23,C24:C$34,M24:M$34,0,0,1)*_xlfn.XLOOKUP(C23,C24:C$34,L24:L$34,0,0,1)-G23*K23)/L23,_xlfn.XLOOKUP(C23,C24:C$34,M24:M$34,0,0,1)),0))</f>
        <v>2487.1176621499999</v>
      </c>
      <c r="N23" s="10" cm="1">
        <f t="array" ref="N23">IF(_xlfn.XLOOKUP(C23,I$2:I23,I$2:I23,0,0,-1)=C23,0,IF(AND(H23&lt;&gt;"0",H23&lt;Resumen!$B$3,_xlfn.XLOOKUP(C23,C$2:C992,L$2:L992,,0,1)&lt;&gt;0),G23*K23,IFERROR(IF(_xlfn.XLOOKUP(C23,C24:C$34,L24:L$34,,0,1)&lt;0,IF(L23&gt;_xlfn.XLOOKUP(C23,C24:C$34,L24:L$34,,0,1),D23*_xlfn.XLOOKUP(C23,C24:C$34,M24:M$34,,0,1)+G23*K23,0),IF(_xlfn.XLOOKUP(C23,C24:C$34,L24:L$34,,0,1)&gt;0,IF(L23&lt;_xlfn.XLOOKUP(C23,C24:C$34,L24:L$34,,0,1),G23*K23-_xlfn.XLOOKUP(C23,C24:C$34,M24:M$34,,0,1)*-D23,0),0)),0)))</f>
        <v>0</v>
      </c>
      <c r="O23" s="56">
        <v>145.54400000000001</v>
      </c>
      <c r="P23" s="56">
        <v>144.30699999999999</v>
      </c>
      <c r="Q23" s="10" cm="1">
        <f t="array" ref="Q23">IF(L23&gt;0,IF(L23&gt;_xlfn.XLOOKUP(C23,C24:C$34,L24:L$34,0,0,1),(_xlfn.XLOOKUP(C23,C24:C$34,Q24:Q$34,0,0,1)*MAX(1,O23/_xlfn.XLOOKUP(C23,C24:C$1000,O24:O$1000,O23,0,1))*_xlfn.XLOOKUP(C23,C24:C$1000,L24:L$1000,0,0,1)+IF(_xlfn.XLOOKUP(I23,C24:C$34,I24:I$34,0,0,1)="put",-_xlfn.XLOOKUP(I23,C24:C$34,Q24:Q$34,0,0,1)*D23/100,_xlfn.XLOOKUP(I23,C24:C$34,Q24:Q$34,0,0,1)*D23/100)-G23*K23)/L23,_xlfn.XLOOKUP(C23,C24:C$34,Q24:Q$34,,0,1)*MAX(1,O23/_xlfn.XLOOKUP(C23,C24:C$1000,O24:O$1000,O23,0,1))),IF(L23&lt;0,IF(L23&lt;_xlfn.XLOOKUP(C23,C24:C$34,L24:L$34,0,0,1),(_xlfn.XLOOKUP(C23,C24:C$34,Q24:Q$34,0,0,1)-G23*K23)/L23,_xlfn.XLOOKUP(C23,C24:C$34,Q24:Q$34,,0,1)),0))</f>
        <v>2487.1176621499999</v>
      </c>
      <c r="R23" s="59" cm="1">
        <f t="array" ref="R23">IF(_xlfn.XLOOKUP(C23,I$2:I23,I$2:I23,0,0,-1)=C23,0,IF(AND(H23&lt;&gt;"0",H23&lt;Resumen!$B$3,_xlfn.XLOOKUP(C23,C$2:C992,L$2:L992,,0,1)&lt;&gt;0),G23*K23,IFERROR(IF(_xlfn.XLOOKUP(C23,C24:C$34,L24:L$34,,0,1)&lt;0,IF(L23&gt;_xlfn.XLOOKUP(C23,C24:C$34,L24:L$34,,0,1),D23*_xlfn.XLOOKUP(C23,C24:C$34,Q24:Q$34,,0,1)+G23*K23,0),IF(_xlfn.XLOOKUP(C23,C24:C$34,L24:L$34,,0,1)&gt;0,IF(L23&lt;_xlfn.XLOOKUP(C23,C24:C$34,L24:L$34,,0,1),+G23*K23-_xlfn.XLOOKUP(C23,C24:C$34,Q24:Q$34,,0,1)*-D23*MAX(1,P23/_xlfn.XLOOKUP(C23,C24:C$34,O24:O$34,P23,0,1)),0),0)),0)))</f>
        <v>0</v>
      </c>
      <c r="S23" s="56" t="str" cm="1">
        <f t="array" ref="S23">IF(AND(H23&lt;&gt;"0",R23&lt;&gt;0),1,IF(R23=0,"-",IF(D23&lt;0, _xlfn.LET(_xlpm.v_cant, ABS(D23), _xlpm.v_fecha, A23, _xlpm.v_ticker, C23, _xlpm.rango_f, A24:A$1000, _xlpm.rango_t, D24:D$1000, _xlpm.filtro, C24:C$1000=_xlpm.v_ticker, _xlpm.c_fechas, _xlfn._xlws.FILTER(_xlpm.rango_f, _xlpm.filtro*(_xlpm.rango_t&gt;0), _xlpm.v_fecha), _xlpm.c_cants, _xlfn._xlws.FILTER(_xlpm.rango_t, _xlpm.filtro*(_xlpm.rango_t&gt;0), 0), _xlpm.v_acums_pasadas, ABS(SUMIFS(D24:D$1000, C24:C$1000, _xlpm.v_ticker, D24:D$1000,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4" spans="1:19" x14ac:dyDescent="0.45">
      <c r="A24" s="12">
        <v>46086</v>
      </c>
      <c r="B24" s="3" t="s">
        <v>222</v>
      </c>
      <c r="C24" s="3" t="s">
        <v>255</v>
      </c>
      <c r="D24" s="3">
        <v>-1</v>
      </c>
      <c r="E24" s="3">
        <v>2.2000000000000002</v>
      </c>
      <c r="F24" s="3">
        <v>-0.70123999999999997</v>
      </c>
      <c r="G24" s="3">
        <v>219.29875999999999</v>
      </c>
      <c r="H24" s="14">
        <f t="shared" si="0"/>
        <v>46136</v>
      </c>
      <c r="I24" s="60" t="str" cm="1">
        <f t="array" ref="I24">IF(MID(C24,13,1)="C","Call",IF(MID(C24,13,1)="P","Put",IF(D24&gt;0,_xlfn._xlws.FILTER(C25:C$100,(ISNUMBER(SEARCH(C24,C25:C$100)))*(J25:J$100=E24)*((($B24="assignment")*(I25:I$100="put")*(D25:D$100&lt;0))+(($B24="exercise")*(I25:I$100="call")*(D25:D$100&gt;0)))*(H25:H$100=_xlfn.MINIFS(H25:H$100,C25:C$100,"*"&amp;C24&amp;"*",J25:J$100,E24,I25:I$100,IF(B24="assignment","put","call"),D25:D$100,IF(B24="assignment","&lt;0","&gt;0"),H25:H$100,"&gt;="&amp;A24)),""),"")))</f>
        <v>Put</v>
      </c>
      <c r="J24" s="9">
        <f t="shared" si="1"/>
        <v>16</v>
      </c>
      <c r="K24" s="9">
        <v>17.677</v>
      </c>
      <c r="L24" s="5">
        <f>SUMIF(C24:C$33,C24,D24:D$33)</f>
        <v>-1</v>
      </c>
      <c r="M24" s="10" cm="1">
        <f t="array" ref="M24">IF(L24&gt;0,IF(L24&gt;_xlfn.XLOOKUP(C24,C25:C$34,L25:L$34,0,0,1),(_xlfn.XLOOKUP(C24,C25:C$34,M25:M$34,0,0,1)*_xlfn.XLOOKUP(C24,C25:C$34,L25:L$34,0,0,1)-G24*K24+_xlfn.XLOOKUP(I24,C25:C$34,M25:M$34,0,0,1)*_xlfn.XLOOKUP(I24,C25:C$34,L25:L$34,0,0,1)/D24*100)/L24,_xlfn.XLOOKUP(C24,C25:C$34,M25:M$34,0,0,1)),IF(L24&lt;0,IF(L24&lt;_xlfn.XLOOKUP(C24,C25:C$34,L25:L$34,0,0,1),(_xlfn.XLOOKUP(C24,C25:C$34,M25:M$34,0,0,1)*_xlfn.XLOOKUP(C24,C25:C$34,L25:L$34,0,0,1)-G24*K24)/L24,_xlfn.XLOOKUP(C24,C25:C$34,M25:M$34,0,0,1)),0))</f>
        <v>3876.5441805199998</v>
      </c>
      <c r="N24" s="10" cm="1">
        <f t="array" ref="N24">IF(_xlfn.XLOOKUP(C24,I$2:I24,I$2:I24,0,0,-1)=C24,0,IF(AND(H24&lt;&gt;"0",H24&lt;Resumen!$B$3,_xlfn.XLOOKUP(C24,C$2:C993,L$2:L993,,0,1)&lt;&gt;0),G24*K24,IFERROR(IF(_xlfn.XLOOKUP(C24,C25:C$34,L25:L$34,,0,1)&lt;0,IF(L24&gt;_xlfn.XLOOKUP(C24,C25:C$34,L25:L$34,,0,1),D24*_xlfn.XLOOKUP(C24,C25:C$34,M25:M$34,,0,1)+G24*K24,0),IF(_xlfn.XLOOKUP(C24,C25:C$34,L25:L$34,,0,1)&gt;0,IF(L24&lt;_xlfn.XLOOKUP(C24,C25:C$34,L25:L$34,,0,1),G24*K24-_xlfn.XLOOKUP(C24,C25:C$34,M25:M$34,,0,1)*-D24,0),0)),0)))</f>
        <v>0</v>
      </c>
      <c r="O24" s="56">
        <v>145.54400000000001</v>
      </c>
      <c r="P24" s="56">
        <v>144.30699999999999</v>
      </c>
      <c r="Q24" s="10" cm="1">
        <f t="array" ref="Q24">IF(L24&gt;0,IF(L24&gt;_xlfn.XLOOKUP(C24,C25:C$34,L25:L$34,0,0,1),(_xlfn.XLOOKUP(C24,C25:C$34,Q25:Q$34,0,0,1)*MAX(1,O24/_xlfn.XLOOKUP(C24,C25:C$1000,O25:O$1000,O24,0,1))*_xlfn.XLOOKUP(C24,C25:C$1000,L25:L$1000,0,0,1)+IF(_xlfn.XLOOKUP(I24,C25:C$34,I25:I$34,0,0,1)="put",-_xlfn.XLOOKUP(I24,C25:C$34,Q25:Q$34,0,0,1)*D24/100,_xlfn.XLOOKUP(I24,C25:C$34,Q25:Q$34,0,0,1)*D24/100)-G24*K24)/L24,_xlfn.XLOOKUP(C24,C25:C$34,Q25:Q$34,,0,1)*MAX(1,O24/_xlfn.XLOOKUP(C24,C25:C$1000,O25:O$1000,O24,0,1))),IF(L24&lt;0,IF(L24&lt;_xlfn.XLOOKUP(C24,C25:C$34,L25:L$34,0,0,1),(_xlfn.XLOOKUP(C24,C25:C$34,Q25:Q$34,0,0,1)-G24*K24)/L24,_xlfn.XLOOKUP(C24,C25:C$34,Q25:Q$34,,0,1)),0))</f>
        <v>3876.5441805199998</v>
      </c>
      <c r="R24" s="59" cm="1">
        <f t="array" ref="R24">IF(_xlfn.XLOOKUP(C24,I$2:I24,I$2:I24,0,0,-1)=C24,0,IF(AND(H24&lt;&gt;"0",H24&lt;Resumen!$B$3,_xlfn.XLOOKUP(C24,C$2:C993,L$2:L993,,0,1)&lt;&gt;0),G24*K24,IFERROR(IF(_xlfn.XLOOKUP(C24,C25:C$34,L25:L$34,,0,1)&lt;0,IF(L24&gt;_xlfn.XLOOKUP(C24,C25:C$34,L25:L$34,,0,1),D24*_xlfn.XLOOKUP(C24,C25:C$34,Q25:Q$34,,0,1)+G24*K24,0),IF(_xlfn.XLOOKUP(C24,C25:C$34,L25:L$34,,0,1)&gt;0,IF(L24&lt;_xlfn.XLOOKUP(C24,C25:C$34,L25:L$34,,0,1),+G24*K24-_xlfn.XLOOKUP(C24,C25:C$34,Q25:Q$34,,0,1)*-D24*MAX(1,P24/_xlfn.XLOOKUP(C24,C25:C$34,O25:O$34,P24,0,1)),0),0)),0)))</f>
        <v>0</v>
      </c>
      <c r="S24" s="56" t="str" cm="1">
        <f t="array" ref="S24">IF(AND(H24&lt;&gt;"0",R24&lt;&gt;0),1,IF(R24=0,"-",IF(D24&lt;0, _xlfn.LET(_xlpm.v_cant, ABS(D24), _xlpm.v_fecha, A24, _xlpm.v_ticker, C24, _xlpm.rango_f, A25:A$1000, _xlpm.rango_t, D25:D$1000, _xlpm.filtro, C25:C$1000=_xlpm.v_ticker, _xlpm.c_fechas, _xlfn._xlws.FILTER(_xlpm.rango_f, _xlpm.filtro*(_xlpm.rango_t&gt;0), _xlpm.v_fecha), _xlpm.c_cants, _xlfn._xlws.FILTER(_xlpm.rango_t, _xlpm.filtro*(_xlpm.rango_t&gt;0), 0), _xlpm.v_acums_pasadas, ABS(SUMIFS(D25:D$1000, C25:C$1000, _xlpm.v_ticker, D25:D$1000,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5" spans="1:19" x14ac:dyDescent="0.45">
      <c r="A25" s="12">
        <v>46073</v>
      </c>
      <c r="B25" s="3" t="s">
        <v>224</v>
      </c>
      <c r="C25" s="3" t="s">
        <v>243</v>
      </c>
      <c r="D25" s="3">
        <v>1</v>
      </c>
      <c r="E25" s="3">
        <v>0.12</v>
      </c>
      <c r="F25" s="3">
        <v>-1.05125</v>
      </c>
      <c r="G25" s="3">
        <v>-13.05125</v>
      </c>
      <c r="H25" s="14">
        <f t="shared" si="0"/>
        <v>46402</v>
      </c>
      <c r="I25" s="60" t="str" cm="1">
        <f t="array" ref="I25">IF(MID(C25,13,1)="C","Call",IF(MID(C25,13,1)="P","Put",IF(D25&gt;0,_xlfn._xlws.FILTER(C26:C$100,(ISNUMBER(SEARCH(C25,C26:C$100)))*(J26:J$100=E25)*((($B25="assignment")*(I26:I$100="put")*(D26:D$100&lt;0))+(($B25="exercise")*(I26:I$100="call")*(D26:D$100&gt;0)))*(H26:H$100=_xlfn.MINIFS(H26:H$100,C26:C$100,"*"&amp;C25&amp;"*",J26:J$100,E25,I26:I$100,IF(B25="assignment","put","call"),D26:D$100,IF(B25="assignment","&lt;0","&gt;0"),H26:H$100,"&gt;="&amp;A25)),""),"")))</f>
        <v>Call</v>
      </c>
      <c r="J25" s="9">
        <f t="shared" si="1"/>
        <v>2.5</v>
      </c>
      <c r="K25" s="9">
        <v>17.1722</v>
      </c>
      <c r="L25" s="5">
        <f>SUMIF(C25:C$33,C25,D25:D$33)</f>
        <v>1</v>
      </c>
      <c r="M25" s="10" cm="1">
        <f t="array" ref="M25">IF(L25&gt;0,IF(L25&gt;_xlfn.XLOOKUP(C25,C26:C$34,L26:L$34,0,0,1),(_xlfn.XLOOKUP(C25,C26:C$34,M26:M$34,0,0,1)*_xlfn.XLOOKUP(C25,C26:C$34,L26:L$34,0,0,1)-G25*K25+_xlfn.XLOOKUP(I25,C26:C$34,M26:M$34,0,0,1)*_xlfn.XLOOKUP(I25,C26:C$34,L26:L$34,0,0,1)/D25*100)/L25,_xlfn.XLOOKUP(C25,C26:C$34,M26:M$34,0,0,1)),IF(L25&lt;0,IF(L25&lt;_xlfn.XLOOKUP(C25,C26:C$34,L26:L$34,0,0,1),(_xlfn.XLOOKUP(C25,C26:C$34,M26:M$34,0,0,1)*_xlfn.XLOOKUP(C25,C26:C$34,L26:L$34,0,0,1)-G25*K25)/L25,_xlfn.XLOOKUP(C25,C26:C$34,M26:M$34,0,0,1)),0))</f>
        <v>224.11867525</v>
      </c>
      <c r="N25" s="10" cm="1">
        <f t="array" ref="N25">IF(_xlfn.XLOOKUP(C25,I$2:I25,I$2:I25,0,0,-1)=C25,0,IF(AND(H25&lt;&gt;"0",H25&lt;Resumen!$B$3,_xlfn.XLOOKUP(C25,C$2:C994,L$2:L994,,0,1)&lt;&gt;0),G25*K25,IFERROR(IF(_xlfn.XLOOKUP(C25,C26:C$34,L26:L$34,,0,1)&lt;0,IF(L25&gt;_xlfn.XLOOKUP(C25,C26:C$34,L26:L$34,,0,1),D25*_xlfn.XLOOKUP(C25,C26:C$34,M26:M$34,,0,1)+G25*K25,0),IF(_xlfn.XLOOKUP(C25,C26:C$34,L26:L$34,,0,1)&gt;0,IF(L25&lt;_xlfn.XLOOKUP(C25,C26:C$34,L26:L$34,,0,1),G25*K25-_xlfn.XLOOKUP(C25,C26:C$34,M26:M$34,,0,1)*-D25,0),0)),0)))</f>
        <v>0</v>
      </c>
      <c r="O25" s="56">
        <v>144.30699999999999</v>
      </c>
      <c r="P25" s="56">
        <v>143.58799999999999</v>
      </c>
      <c r="Q25" s="10" cm="1">
        <f t="array" ref="Q25">IF(L25&gt;0,IF(L25&gt;_xlfn.XLOOKUP(C25,C26:C$34,L26:L$34,0,0,1),(_xlfn.XLOOKUP(C25,C26:C$34,Q26:Q$34,0,0,1)*MAX(1,O25/_xlfn.XLOOKUP(C25,C26:C$1000,O26:O$1000,O25,0,1))*_xlfn.XLOOKUP(C25,C26:C$1000,L26:L$1000,0,0,1)+IF(_xlfn.XLOOKUP(I25,C26:C$34,I26:I$34,0,0,1)="put",-_xlfn.XLOOKUP(I25,C26:C$34,Q26:Q$34,0,0,1)*D25/100,_xlfn.XLOOKUP(I25,C26:C$34,Q26:Q$34,0,0,1)*D25/100)-G25*K25)/L25,_xlfn.XLOOKUP(C25,C26:C$34,Q26:Q$34,,0,1)*MAX(1,O25/_xlfn.XLOOKUP(C25,C26:C$1000,O26:O$1000,O25,0,1))),IF(L25&lt;0,IF(L25&lt;_xlfn.XLOOKUP(C25,C26:C$34,L26:L$34,0,0,1),(_xlfn.XLOOKUP(C25,C26:C$34,Q26:Q$34,0,0,1)-G25*K25)/L25,_xlfn.XLOOKUP(C25,C26:C$34,Q26:Q$34,,0,1)),0))</f>
        <v>224.11867525</v>
      </c>
      <c r="R25" s="59" cm="1">
        <f t="array" ref="R25">IF(_xlfn.XLOOKUP(C25,I$2:I25,I$2:I25,0,0,-1)=C25,0,IF(AND(H25&lt;&gt;"0",H25&lt;Resumen!$B$3,_xlfn.XLOOKUP(C25,C$2:C994,L$2:L994,,0,1)&lt;&gt;0),G25*K25,IFERROR(IF(_xlfn.XLOOKUP(C25,C26:C$34,L26:L$34,,0,1)&lt;0,IF(L25&gt;_xlfn.XLOOKUP(C25,C26:C$34,L26:L$34,,0,1),D25*_xlfn.XLOOKUP(C25,C26:C$34,Q26:Q$34,,0,1)+G25*K25,0),IF(_xlfn.XLOOKUP(C25,C26:C$34,L26:L$34,,0,1)&gt;0,IF(L25&lt;_xlfn.XLOOKUP(C25,C26:C$34,L26:L$34,,0,1),+G25*K25-_xlfn.XLOOKUP(C25,C26:C$34,Q26:Q$34,,0,1)*-D25*MAX(1,P25/_xlfn.XLOOKUP(C25,C26:C$34,O26:O$34,P25,0,1)),0),0)),0)))</f>
        <v>0</v>
      </c>
      <c r="S25" s="56" t="str" cm="1">
        <f t="array" ref="S25">IF(AND(H25&lt;&gt;"0",R25&lt;&gt;0),1,IF(R25=0,"-",IF(D25&lt;0, _xlfn.LET(_xlpm.v_cant, ABS(D25), _xlpm.v_fecha, A25, _xlpm.v_ticker, C25, _xlpm.rango_f, A26:A$1000, _xlpm.rango_t, D26:D$1000, _xlpm.filtro, C26:C$1000=_xlpm.v_ticker, _xlpm.c_fechas, _xlfn._xlws.FILTER(_xlpm.rango_f, _xlpm.filtro*(_xlpm.rango_t&gt;0), _xlpm.v_fecha), _xlpm.c_cants, _xlfn._xlws.FILTER(_xlpm.rango_t, _xlpm.filtro*(_xlpm.rango_t&gt;0), 0), _xlpm.v_acums_pasadas, ABS(SUMIFS(D26:D$1000, C26:C$1000, _xlpm.v_ticker, D26:D$1000,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6" spans="1:19" x14ac:dyDescent="0.45">
      <c r="A26" s="12">
        <v>46073</v>
      </c>
      <c r="B26" s="3" t="s">
        <v>224</v>
      </c>
      <c r="C26" s="3" t="s">
        <v>245</v>
      </c>
      <c r="D26" s="3">
        <v>1</v>
      </c>
      <c r="E26" s="3">
        <v>0.22</v>
      </c>
      <c r="F26" s="3">
        <v>-1.05125</v>
      </c>
      <c r="G26" s="3">
        <v>-23.05125</v>
      </c>
      <c r="H26" s="14">
        <f t="shared" si="0"/>
        <v>46773</v>
      </c>
      <c r="I26" s="60" t="str" cm="1">
        <f t="array" ref="I26">IF(MID(C26,13,1)="C","Call",IF(MID(C26,13,1)="P","Put",IF(D26&gt;0,_xlfn._xlws.FILTER(C27:C$100,(ISNUMBER(SEARCH(C26,C27:C$100)))*(J27:J$100=E26)*((($B26="assignment")*(I27:I$100="put")*(D27:D$100&lt;0))+(($B26="exercise")*(I27:I$100="call")*(D27:D$100&gt;0)))*(H27:H$100=_xlfn.MINIFS(H27:H$100,C27:C$100,"*"&amp;C26&amp;"*",J27:J$100,E26,I27:I$100,IF(B26="assignment","put","call"),D27:D$100,IF(B26="assignment","&lt;0","&gt;0"),H27:H$100,"&gt;="&amp;A26)),""),"")))</f>
        <v>Call</v>
      </c>
      <c r="J26" s="9">
        <f t="shared" si="1"/>
        <v>2.5</v>
      </c>
      <c r="K26" s="9">
        <v>17.1722</v>
      </c>
      <c r="L26" s="5">
        <f>SUMIF(C26:C$33,C26,D26:D$33)</f>
        <v>1</v>
      </c>
      <c r="M26" s="10" cm="1">
        <f t="array" ref="M26">IF(L26&gt;0,IF(L26&gt;_xlfn.XLOOKUP(C26,C27:C$34,L27:L$34,0,0,1),(_xlfn.XLOOKUP(C26,C27:C$34,M27:M$34,0,0,1)*_xlfn.XLOOKUP(C26,C27:C$34,L27:L$34,0,0,1)-G26*K26+_xlfn.XLOOKUP(I26,C27:C$34,M27:M$34,0,0,1)*_xlfn.XLOOKUP(I26,C27:C$34,L27:L$34,0,0,1)/D26*100)/L26,_xlfn.XLOOKUP(C26,C27:C$34,M27:M$34,0,0,1)),IF(L26&lt;0,IF(L26&lt;_xlfn.XLOOKUP(C26,C27:C$34,L27:L$34,0,0,1),(_xlfn.XLOOKUP(C26,C27:C$34,M27:M$34,0,0,1)*_xlfn.XLOOKUP(C26,C27:C$34,L27:L$34,0,0,1)-G26*K26)/L26,_xlfn.XLOOKUP(C26,C27:C$34,M27:M$34,0,0,1)),0))</f>
        <v>395.84067525</v>
      </c>
      <c r="N26" s="10" cm="1">
        <f t="array" ref="N26">IF(_xlfn.XLOOKUP(C26,I$2:I26,I$2:I26,0,0,-1)=C26,0,IF(AND(H26&lt;&gt;"0",H26&lt;Resumen!$B$3,_xlfn.XLOOKUP(C26,C$2:C995,L$2:L995,,0,1)&lt;&gt;0),G26*K26,IFERROR(IF(_xlfn.XLOOKUP(C26,C27:C$34,L27:L$34,,0,1)&lt;0,IF(L26&gt;_xlfn.XLOOKUP(C26,C27:C$34,L27:L$34,,0,1),D26*_xlfn.XLOOKUP(C26,C27:C$34,M27:M$34,,0,1)+G26*K26,0),IF(_xlfn.XLOOKUP(C26,C27:C$34,L27:L$34,,0,1)&gt;0,IF(L26&lt;_xlfn.XLOOKUP(C26,C27:C$34,L27:L$34,,0,1),G26*K26-_xlfn.XLOOKUP(C26,C27:C$34,M27:M$34,,0,1)*-D26,0),0)),0)))</f>
        <v>0</v>
      </c>
      <c r="O26" s="56">
        <v>144.30699999999999</v>
      </c>
      <c r="P26" s="56">
        <v>143.58799999999999</v>
      </c>
      <c r="Q26" s="10" cm="1">
        <f t="array" ref="Q26">IF(L26&gt;0,IF(L26&gt;_xlfn.XLOOKUP(C26,C27:C$34,L27:L$34,0,0,1),(_xlfn.XLOOKUP(C26,C27:C$34,Q27:Q$34,0,0,1)*MAX(1,O26/_xlfn.XLOOKUP(C26,C27:C$1000,O27:O$1000,O26,0,1))*_xlfn.XLOOKUP(C26,C27:C$1000,L27:L$1000,0,0,1)+IF(_xlfn.XLOOKUP(I26,C27:C$34,I27:I$34,0,0,1)="put",-_xlfn.XLOOKUP(I26,C27:C$34,Q27:Q$34,0,0,1)*D26/100,_xlfn.XLOOKUP(I26,C27:C$34,Q27:Q$34,0,0,1)*D26/100)-G26*K26)/L26,_xlfn.XLOOKUP(C26,C27:C$34,Q27:Q$34,,0,1)*MAX(1,O26/_xlfn.XLOOKUP(C26,C27:C$1000,O27:O$1000,O26,0,1))),IF(L26&lt;0,IF(L26&lt;_xlfn.XLOOKUP(C26,C27:C$34,L27:L$34,0,0,1),(_xlfn.XLOOKUP(C26,C27:C$34,Q27:Q$34,0,0,1)-G26*K26)/L26,_xlfn.XLOOKUP(C26,C27:C$34,Q27:Q$34,,0,1)),0))</f>
        <v>395.84067525</v>
      </c>
      <c r="R26" s="59" cm="1">
        <f t="array" ref="R26">IF(_xlfn.XLOOKUP(C26,I$2:I26,I$2:I26,0,0,-1)=C26,0,IF(AND(H26&lt;&gt;"0",H26&lt;Resumen!$B$3,_xlfn.XLOOKUP(C26,C$2:C995,L$2:L995,,0,1)&lt;&gt;0),G26*K26,IFERROR(IF(_xlfn.XLOOKUP(C26,C27:C$34,L27:L$34,,0,1)&lt;0,IF(L26&gt;_xlfn.XLOOKUP(C26,C27:C$34,L27:L$34,,0,1),D26*_xlfn.XLOOKUP(C26,C27:C$34,Q27:Q$34,,0,1)+G26*K26,0),IF(_xlfn.XLOOKUP(C26,C27:C$34,L27:L$34,,0,1)&gt;0,IF(L26&lt;_xlfn.XLOOKUP(C26,C27:C$34,L27:L$34,,0,1),+G26*K26-_xlfn.XLOOKUP(C26,C27:C$34,Q27:Q$34,,0,1)*-D26*MAX(1,P26/_xlfn.XLOOKUP(C26,C27:C$34,O27:O$34,P26,0,1)),0),0)),0)))</f>
        <v>0</v>
      </c>
      <c r="S26" s="56" t="str" cm="1">
        <f t="array" ref="S26">IF(AND(H26&lt;&gt;"0",R26&lt;&gt;0),1,IF(R26=0,"-",IF(D26&lt;0, _xlfn.LET(_xlpm.v_cant, ABS(D26), _xlpm.v_fecha, A26, _xlpm.v_ticker, C26, _xlpm.rango_f, A27:A$1000, _xlpm.rango_t, D27:D$1000, _xlpm.filtro, C27:C$1000=_xlpm.v_ticker, _xlpm.c_fechas, _xlfn._xlws.FILTER(_xlpm.rango_f, _xlpm.filtro*(_xlpm.rango_t&gt;0), _xlpm.v_fecha), _xlpm.c_cants, _xlfn._xlws.FILTER(_xlpm.rango_t, _xlpm.filtro*(_xlpm.rango_t&gt;0), 0), _xlpm.v_acums_pasadas, ABS(SUMIFS(D27:D$1000, C27:C$1000, _xlpm.v_ticker, D27:D$1000,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7" spans="1:19" x14ac:dyDescent="0.45">
      <c r="A27" s="12">
        <v>46064</v>
      </c>
      <c r="B27" s="3" t="s">
        <v>224</v>
      </c>
      <c r="C27" s="3" t="s">
        <v>261</v>
      </c>
      <c r="D27" s="3">
        <v>1</v>
      </c>
      <c r="E27" s="3">
        <v>0.52</v>
      </c>
      <c r="F27" s="3">
        <v>-0.69874999999999998</v>
      </c>
      <c r="G27" s="3">
        <v>-52.698749999999997</v>
      </c>
      <c r="H27" s="14">
        <f t="shared" si="0"/>
        <v>46283</v>
      </c>
      <c r="I27" s="60" t="str" cm="1">
        <f t="array" ref="I27">IF(MID(C27,13,1)="C","Call",IF(MID(C27,13,1)="P","Put",IF(D27&gt;0,_xlfn._xlws.FILTER(C28:C$100,(ISNUMBER(SEARCH(C27,C28:C$100)))*(J28:J$100=E27)*((($B27="assignment")*(I28:I$100="put")*(D28:D$100&lt;0))+(($B27="exercise")*(I28:I$100="call")*(D28:D$100&gt;0)))*(H28:H$100=_xlfn.MINIFS(H28:H$100,C28:C$100,"*"&amp;C27&amp;"*",J28:J$100,E27,I28:I$100,IF(B27="assignment","put","call"),D28:D$100,IF(B27="assignment","&lt;0","&gt;0"),H28:H$100,"&gt;="&amp;A27)),""),"")))</f>
        <v>Call</v>
      </c>
      <c r="J27" s="9">
        <f t="shared" si="1"/>
        <v>7</v>
      </c>
      <c r="K27" s="9">
        <v>17.215499999999999</v>
      </c>
      <c r="L27" s="5">
        <f>SUMIF(C27:C$33,C27,D27:D$33)</f>
        <v>1</v>
      </c>
      <c r="M27" s="10" cm="1">
        <f t="array" ref="M27">IF(L27&gt;0,IF(L27&gt;_xlfn.XLOOKUP(C27,C28:C$34,L28:L$34,0,0,1),(_xlfn.XLOOKUP(C27,C28:C$34,M28:M$34,0,0,1)*_xlfn.XLOOKUP(C27,C28:C$34,L28:L$34,0,0,1)-G27*K27+_xlfn.XLOOKUP(I27,C28:C$34,M28:M$34,0,0,1)*_xlfn.XLOOKUP(I27,C28:C$34,L28:L$34,0,0,1)/D27*100)/L27,_xlfn.XLOOKUP(C27,C28:C$34,M28:M$34,0,0,1)),IF(L27&lt;0,IF(L27&lt;_xlfn.XLOOKUP(C27,C28:C$34,L28:L$34,0,0,1),(_xlfn.XLOOKUP(C27,C28:C$34,M28:M$34,0,0,1)*_xlfn.XLOOKUP(C27,C28:C$34,L28:L$34,0,0,1)-G27*K27)/L27,_xlfn.XLOOKUP(C27,C28:C$34,M28:M$34,0,0,1)),0))</f>
        <v>907.23533062499985</v>
      </c>
      <c r="N27" s="10" cm="1">
        <f t="array" ref="N27">IF(_xlfn.XLOOKUP(C27,I$2:I27,I$2:I27,0,0,-1)=C27,0,IF(AND(H27&lt;&gt;"0",H27&lt;Resumen!$B$3,_xlfn.XLOOKUP(C27,C$2:C996,L$2:L996,,0,1)&lt;&gt;0),G27*K27,IFERROR(IF(_xlfn.XLOOKUP(C27,C28:C$34,L28:L$34,,0,1)&lt;0,IF(L27&gt;_xlfn.XLOOKUP(C27,C28:C$34,L28:L$34,,0,1),D27*_xlfn.XLOOKUP(C27,C28:C$34,M28:M$34,,0,1)+G27*K27,0),IF(_xlfn.XLOOKUP(C27,C28:C$34,L28:L$34,,0,1)&gt;0,IF(L27&lt;_xlfn.XLOOKUP(C27,C28:C$34,L28:L$34,,0,1),G27*K27-_xlfn.XLOOKUP(C27,C28:C$34,M28:M$34,,0,1)*-D27,0),0)),0)))</f>
        <v>0</v>
      </c>
      <c r="O27" s="56">
        <v>144.30699999999999</v>
      </c>
      <c r="P27" s="56">
        <v>143.58799999999999</v>
      </c>
      <c r="Q27" s="10" cm="1">
        <f t="array" ref="Q27">IF(L27&gt;0,IF(L27&gt;_xlfn.XLOOKUP(C27,C28:C$34,L28:L$34,0,0,1),(_xlfn.XLOOKUP(C27,C28:C$34,Q28:Q$34,0,0,1)*MAX(1,O27/_xlfn.XLOOKUP(C27,C28:C$1000,O28:O$1000,O27,0,1))*_xlfn.XLOOKUP(C27,C28:C$1000,L28:L$1000,0,0,1)+IF(_xlfn.XLOOKUP(I27,C28:C$34,I28:I$34,0,0,1)="put",-_xlfn.XLOOKUP(I27,C28:C$34,Q28:Q$34,0,0,1)*D27/100,_xlfn.XLOOKUP(I27,C28:C$34,Q28:Q$34,0,0,1)*D27/100)-G27*K27)/L27,_xlfn.XLOOKUP(C27,C28:C$34,Q28:Q$34,,0,1)*MAX(1,O27/_xlfn.XLOOKUP(C27,C28:C$1000,O28:O$1000,O27,0,1))),IF(L27&lt;0,IF(L27&lt;_xlfn.XLOOKUP(C27,C28:C$34,L28:L$34,0,0,1),(_xlfn.XLOOKUP(C27,C28:C$34,Q28:Q$34,0,0,1)-G27*K27)/L27,_xlfn.XLOOKUP(C27,C28:C$34,Q28:Q$34,,0,1)),0))</f>
        <v>907.23533062499985</v>
      </c>
      <c r="R27" s="59" cm="1">
        <f t="array" ref="R27">IF(_xlfn.XLOOKUP(C27,I$2:I27,I$2:I27,0,0,-1)=C27,0,IF(AND(H27&lt;&gt;"0",H27&lt;Resumen!$B$3,_xlfn.XLOOKUP(C27,C$2:C996,L$2:L996,,0,1)&lt;&gt;0),G27*K27,IFERROR(IF(_xlfn.XLOOKUP(C27,C28:C$34,L28:L$34,,0,1)&lt;0,IF(L27&gt;_xlfn.XLOOKUP(C27,C28:C$34,L28:L$34,,0,1),D27*_xlfn.XLOOKUP(C27,C28:C$34,Q28:Q$34,,0,1)+G27*K27,0),IF(_xlfn.XLOOKUP(C27,C28:C$34,L28:L$34,,0,1)&gt;0,IF(L27&lt;_xlfn.XLOOKUP(C27,C28:C$34,L28:L$34,,0,1),+G27*K27-_xlfn.XLOOKUP(C27,C28:C$34,Q28:Q$34,,0,1)*-D27*MAX(1,P27/_xlfn.XLOOKUP(C27,C28:C$34,O28:O$34,P27,0,1)),0),0)),0)))</f>
        <v>0</v>
      </c>
      <c r="S27" s="56" t="str" cm="1">
        <f t="array" ref="S27">IF(AND(H27&lt;&gt;"0",R27&lt;&gt;0),1,IF(R27=0,"-",IF(D27&lt;0, _xlfn.LET(_xlpm.v_cant, ABS(D27), _xlpm.v_fecha, A27, _xlpm.v_ticker, C27, _xlpm.rango_f, A28:A$1000, _xlpm.rango_t, D28:D$1000, _xlpm.filtro, C28:C$1000=_xlpm.v_ticker, _xlpm.c_fechas, _xlfn._xlws.FILTER(_xlpm.rango_f, _xlpm.filtro*(_xlpm.rango_t&gt;0), _xlpm.v_fecha), _xlpm.c_cants, _xlfn._xlws.FILTER(_xlpm.rango_t, _xlpm.filtro*(_xlpm.rango_t&gt;0), 0), _xlpm.v_acums_pasadas, ABS(SUMIFS(D28:D$1000, C28:C$1000, _xlpm.v_ticker, D28:D$1000,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8" spans="1:19" x14ac:dyDescent="0.45">
      <c r="A28" s="12">
        <v>46064</v>
      </c>
      <c r="B28" s="3" t="s">
        <v>222</v>
      </c>
      <c r="C28" s="3" t="s">
        <v>263</v>
      </c>
      <c r="D28" s="3">
        <v>-1</v>
      </c>
      <c r="E28" s="3">
        <v>0.94</v>
      </c>
      <c r="F28" s="3">
        <v>-0.70204</v>
      </c>
      <c r="G28" s="3">
        <v>93.297960000000003</v>
      </c>
      <c r="H28" s="14">
        <f t="shared" si="0"/>
        <v>46283</v>
      </c>
      <c r="I28" s="60" t="str" cm="1">
        <f t="array" ref="I28">IF(MID(C28,13,1)="C","Call",IF(MID(C28,13,1)="P","Put",IF(D28&gt;0,_xlfn._xlws.FILTER(C29:C$100,(ISNUMBER(SEARCH(C28,C29:C$100)))*(J29:J$100=E28)*((($B28="assignment")*(I29:I$100="put")*(D29:D$100&lt;0))+(($B28="exercise")*(I29:I$100="call")*(D29:D$100&gt;0)))*(H29:H$100=_xlfn.MINIFS(H29:H$100,C29:C$100,"*"&amp;C28&amp;"*",J29:J$100,E28,I29:I$100,IF(B28="assignment","put","call"),D29:D$100,IF(B28="assignment","&lt;0","&gt;0"),H29:H$100,"&gt;="&amp;A28)),""),"")))</f>
        <v>Put</v>
      </c>
      <c r="J28" s="9">
        <f t="shared" si="1"/>
        <v>5</v>
      </c>
      <c r="K28" s="9">
        <v>17.215499999999999</v>
      </c>
      <c r="L28" s="5">
        <f>SUMIF(C28:C$33,C28,D28:D$33)</f>
        <v>-1</v>
      </c>
      <c r="M28" s="10" cm="1">
        <f t="array" ref="M28">IF(L28&gt;0,IF(L28&gt;_xlfn.XLOOKUP(C28,C29:C$34,L29:L$34,0,0,1),(_xlfn.XLOOKUP(C28,C29:C$34,M29:M$34,0,0,1)*_xlfn.XLOOKUP(C28,C29:C$34,L29:L$34,0,0,1)-G28*K28+_xlfn.XLOOKUP(I28,C29:C$34,M29:M$34,0,0,1)*_xlfn.XLOOKUP(I28,C29:C$34,L29:L$34,0,0,1)/D28*100)/L28,_xlfn.XLOOKUP(C28,C29:C$34,M29:M$34,0,0,1)),IF(L28&lt;0,IF(L28&lt;_xlfn.XLOOKUP(C28,C29:C$34,L29:L$34,0,0,1),(_xlfn.XLOOKUP(C28,C29:C$34,M29:M$34,0,0,1)*_xlfn.XLOOKUP(C28,C29:C$34,L29:L$34,0,0,1)-G28*K28)/L28,_xlfn.XLOOKUP(C28,C29:C$34,M29:M$34,0,0,1)),0))</f>
        <v>1606.17103038</v>
      </c>
      <c r="N28" s="10" cm="1">
        <f t="array" ref="N28">IF(_xlfn.XLOOKUP(C28,I$2:I28,I$2:I28,0,0,-1)=C28,0,IF(AND(H28&lt;&gt;"0",H28&lt;Resumen!$B$3,_xlfn.XLOOKUP(C28,C$2:C997,L$2:L997,,0,1)&lt;&gt;0),G28*K28,IFERROR(IF(_xlfn.XLOOKUP(C28,C29:C$34,L29:L$34,,0,1)&lt;0,IF(L28&gt;_xlfn.XLOOKUP(C28,C29:C$34,L29:L$34,,0,1),D28*_xlfn.XLOOKUP(C28,C29:C$34,M29:M$34,,0,1)+G28*K28,0),IF(_xlfn.XLOOKUP(C28,C29:C$34,L29:L$34,,0,1)&gt;0,IF(L28&lt;_xlfn.XLOOKUP(C28,C29:C$34,L29:L$34,,0,1),G28*K28-_xlfn.XLOOKUP(C28,C29:C$34,M29:M$34,,0,1)*-D28,0),0)),0)))</f>
        <v>0</v>
      </c>
      <c r="O28" s="56">
        <v>144.30699999999999</v>
      </c>
      <c r="P28" s="56">
        <v>143.58799999999999</v>
      </c>
      <c r="Q28" s="10" cm="1">
        <f t="array" ref="Q28">IF(L28&gt;0,IF(L28&gt;_xlfn.XLOOKUP(C28,C29:C$34,L29:L$34,0,0,1),(_xlfn.XLOOKUP(C28,C29:C$34,Q29:Q$34,0,0,1)*MAX(1,O28/_xlfn.XLOOKUP(C28,C29:C$1000,O29:O$1000,O28,0,1))*_xlfn.XLOOKUP(C28,C29:C$1000,L29:L$1000,0,0,1)+IF(_xlfn.XLOOKUP(I28,C29:C$34,I29:I$34,0,0,1)="put",-_xlfn.XLOOKUP(I28,C29:C$34,Q29:Q$34,0,0,1)*D28/100,_xlfn.XLOOKUP(I28,C29:C$34,Q29:Q$34,0,0,1)*D28/100)-G28*K28)/L28,_xlfn.XLOOKUP(C28,C29:C$34,Q29:Q$34,,0,1)*MAX(1,O28/_xlfn.XLOOKUP(C28,C29:C$1000,O29:O$1000,O28,0,1))),IF(L28&lt;0,IF(L28&lt;_xlfn.XLOOKUP(C28,C29:C$34,L29:L$34,0,0,1),(_xlfn.XLOOKUP(C28,C29:C$34,Q29:Q$34,0,0,1)-G28*K28)/L28,_xlfn.XLOOKUP(C28,C29:C$34,Q29:Q$34,,0,1)),0))</f>
        <v>1606.17103038</v>
      </c>
      <c r="R28" s="59" cm="1">
        <f t="array" ref="R28">IF(_xlfn.XLOOKUP(C28,I$2:I28,I$2:I28,0,0,-1)=C28,0,IF(AND(H28&lt;&gt;"0",H28&lt;Resumen!$B$3,_xlfn.XLOOKUP(C28,C$2:C997,L$2:L997,,0,1)&lt;&gt;0),G28*K28,IFERROR(IF(_xlfn.XLOOKUP(C28,C29:C$34,L29:L$34,,0,1)&lt;0,IF(L28&gt;_xlfn.XLOOKUP(C28,C29:C$34,L29:L$34,,0,1),D28*_xlfn.XLOOKUP(C28,C29:C$34,Q29:Q$34,,0,1)+G28*K28,0),IF(_xlfn.XLOOKUP(C28,C29:C$34,L29:L$34,,0,1)&gt;0,IF(L28&lt;_xlfn.XLOOKUP(C28,C29:C$34,L29:L$34,,0,1),+G28*K28-_xlfn.XLOOKUP(C28,C29:C$34,Q29:Q$34,,0,1)*-D28*MAX(1,P28/_xlfn.XLOOKUP(C28,C29:C$34,O29:O$34,P28,0,1)),0),0)),0)))</f>
        <v>0</v>
      </c>
      <c r="S28" s="56" t="str" cm="1">
        <f t="array" ref="S28">IF(AND(H28&lt;&gt;"0",R28&lt;&gt;0),1,IF(R28=0,"-",IF(D28&lt;0, _xlfn.LET(_xlpm.v_cant, ABS(D28), _xlpm.v_fecha, A28, _xlpm.v_ticker, C28, _xlpm.rango_f, A29:A$1000, _xlpm.rango_t, D29:D$1000, _xlpm.filtro, C29:C$1000=_xlpm.v_ticker, _xlpm.c_fechas, _xlfn._xlws.FILTER(_xlpm.rango_f, _xlpm.filtro*(_xlpm.rango_t&gt;0), _xlpm.v_fecha), _xlpm.c_cants, _xlfn._xlws.FILTER(_xlpm.rango_t, _xlpm.filtro*(_xlpm.rango_t&gt;0), 0), _xlpm.v_acums_pasadas, ABS(SUMIFS(D29:D$1000, C29:C$1000, _xlpm.v_ticker, D29:D$1000,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29" spans="1:19" x14ac:dyDescent="0.45">
      <c r="A29" s="12">
        <v>46038</v>
      </c>
      <c r="B29" s="3" t="s">
        <v>222</v>
      </c>
      <c r="C29" s="3" t="s">
        <v>265</v>
      </c>
      <c r="D29" s="3">
        <v>-1</v>
      </c>
      <c r="E29" s="3">
        <v>1.6</v>
      </c>
      <c r="F29" s="3">
        <v>-2.0400000000000001E-3</v>
      </c>
      <c r="G29" s="3">
        <v>159.99796000000001</v>
      </c>
      <c r="H29" s="14">
        <f t="shared" si="0"/>
        <v>46101</v>
      </c>
      <c r="I29" s="60" t="str" cm="1">
        <f t="array" ref="I29">IF(MID(C29,13,1)="C","Call",IF(MID(C29,13,1)="P","Put",IF(D29&gt;0,_xlfn._xlws.FILTER(C30:C$100,(ISNUMBER(SEARCH(C29,C30:C$100)))*(J30:J$100=E29)*((($B29="assignment")*(I30:I$100="put")*(D30:D$100&lt;0))+(($B29="exercise")*(I30:I$100="call")*(D30:D$100&gt;0)))*(H30:H$100=_xlfn.MINIFS(H30:H$100,C30:C$100,"*"&amp;C29&amp;"*",J30:J$100,E29,I30:I$100,IF(B29="assignment","put","call"),D30:D$100,IF(B29="assignment","&lt;0","&gt;0"),H30:H$100,"&gt;="&amp;A29)),""),"")))</f>
        <v>Call</v>
      </c>
      <c r="J29" s="9">
        <f t="shared" si="1"/>
        <v>5</v>
      </c>
      <c r="K29" s="9">
        <v>17.686699999999998</v>
      </c>
      <c r="L29" s="5">
        <f>SUMIF(C29:C$33,C29,D29:D$33)</f>
        <v>-1</v>
      </c>
      <c r="M29" s="10" cm="1">
        <f t="array" ref="M29">IF(L29&gt;0,IF(L29&gt;_xlfn.XLOOKUP(C29,C30:C$34,L30:L$34,0,0,1),(_xlfn.XLOOKUP(C29,C30:C$34,M30:M$34,0,0,1)*_xlfn.XLOOKUP(C29,C30:C$34,L30:L$34,0,0,1)-G29*K29+_xlfn.XLOOKUP(I29,C30:C$34,M30:M$34,0,0,1)*_xlfn.XLOOKUP(I29,C30:C$34,L30:L$34,0,0,1)/D29*100)/L29,_xlfn.XLOOKUP(C29,C30:C$34,M30:M$34,0,0,1)),IF(L29&lt;0,IF(L29&lt;_xlfn.XLOOKUP(C29,C30:C$34,L30:L$34,0,0,1),(_xlfn.XLOOKUP(C29,C30:C$34,M30:M$34,0,0,1)*_xlfn.XLOOKUP(C29,C30:C$34,L30:L$34,0,0,1)-G29*K29)/L29,_xlfn.XLOOKUP(C29,C30:C$34,M30:M$34,0,0,1)),0))</f>
        <v>2829.8359191319996</v>
      </c>
      <c r="N29" s="10" cm="1">
        <f t="array" ref="N29">IF(_xlfn.XLOOKUP(C29,I$2:I29,I$2:I29,0,0,-1)=C29,0,IF(AND(H29&lt;&gt;"0",H29&lt;Resumen!$B$3,_xlfn.XLOOKUP(C29,C$2:C998,L$2:L998,,0,1)&lt;&gt;0),G29*K29,IFERROR(IF(_xlfn.XLOOKUP(C29,C30:C$34,L30:L$34,,0,1)&lt;0,IF(L29&gt;_xlfn.XLOOKUP(C29,C30:C$34,L30:L$34,,0,1),D29*_xlfn.XLOOKUP(C29,C30:C$34,M30:M$34,,0,1)+G29*K29,0),IF(_xlfn.XLOOKUP(C29,C30:C$34,L30:L$34,,0,1)&gt;0,IF(L29&lt;_xlfn.XLOOKUP(C29,C30:C$34,L30:L$34,,0,1),G29*K29-_xlfn.XLOOKUP(C29,C30:C$34,M30:M$34,,0,1)*-D29,0),0)),0)))</f>
        <v>2829.8359191319996</v>
      </c>
      <c r="O29" s="56">
        <v>143.58799999999999</v>
      </c>
      <c r="P29" s="56">
        <v>143.042</v>
      </c>
      <c r="Q29" s="10" cm="1">
        <f t="array" ref="Q29">IF(L29&gt;0,IF(L29&gt;_xlfn.XLOOKUP(C29,C30:C$34,L30:L$34,0,0,1),(_xlfn.XLOOKUP(C29,C30:C$34,Q30:Q$34,0,0,1)*MAX(1,O29/_xlfn.XLOOKUP(C29,C30:C$1000,O30:O$1000,O29,0,1))*_xlfn.XLOOKUP(C29,C30:C$1000,L30:L$1000,0,0,1)+IF(_xlfn.XLOOKUP(I29,C30:C$34,I30:I$34,0,0,1)="put",-_xlfn.XLOOKUP(I29,C30:C$34,Q30:Q$34,0,0,1)*D29/100,_xlfn.XLOOKUP(I29,C30:C$34,Q30:Q$34,0,0,1)*D29/100)-G29*K29)/L29,_xlfn.XLOOKUP(C29,C30:C$34,Q30:Q$34,,0,1)*MAX(1,O29/_xlfn.XLOOKUP(C29,C30:C$1000,O30:O$1000,O29,0,1))),IF(L29&lt;0,IF(L29&lt;_xlfn.XLOOKUP(C29,C30:C$34,L30:L$34,0,0,1),(_xlfn.XLOOKUP(C29,C30:C$34,Q30:Q$34,0,0,1)-G29*K29)/L29,_xlfn.XLOOKUP(C29,C30:C$34,Q30:Q$34,,0,1)),0))</f>
        <v>2829.8359191319996</v>
      </c>
      <c r="R29" s="59" cm="1">
        <f t="array" ref="R29">IF(_xlfn.XLOOKUP(C29,I$2:I29,I$2:I29,0,0,-1)=C29,0,IF(AND(H29&lt;&gt;"0",H29&lt;Resumen!$B$3,_xlfn.XLOOKUP(C29,C$2:C998,L$2:L998,,0,1)&lt;&gt;0),G29*K29,IFERROR(IF(_xlfn.XLOOKUP(C29,C30:C$34,L30:L$34,,0,1)&lt;0,IF(L29&gt;_xlfn.XLOOKUP(C29,C30:C$34,L30:L$34,,0,1),D29*_xlfn.XLOOKUP(C29,C30:C$34,Q30:Q$34,,0,1)+G29*K29,0),IF(_xlfn.XLOOKUP(C29,C30:C$34,L30:L$34,,0,1)&gt;0,IF(L29&lt;_xlfn.XLOOKUP(C29,C30:C$34,L30:L$34,,0,1),+G29*K29-_xlfn.XLOOKUP(C29,C30:C$34,Q30:Q$34,,0,1)*-D29*MAX(1,P29/_xlfn.XLOOKUP(C29,C30:C$34,O30:O$34,P29,0,1)),0),0)),0)))</f>
        <v>2829.8359191319996</v>
      </c>
      <c r="S29" s="56" cm="1">
        <f t="array" ref="S29">IF(AND(H29&lt;&gt;"0",R29&lt;&gt;0),1,IF(R29=0,"-",IF(D29&lt;0, _xlfn.LET(_xlpm.v_cant, ABS(D29), _xlpm.v_fecha, A29, _xlpm.v_ticker, C29, _xlpm.rango_f, A30:A$1000, _xlpm.rango_t, D30:D$1000, _xlpm.filtro, C30:C$1000=_xlpm.v_ticker, _xlpm.c_fechas, _xlfn._xlws.FILTER(_xlpm.rango_f, _xlpm.filtro*(_xlpm.rango_t&gt;0), _xlpm.v_fecha), _xlpm.c_cants, _xlfn._xlws.FILTER(_xlpm.rango_t, _xlpm.filtro*(_xlpm.rango_t&gt;0), 0), _xlpm.v_acums_pasadas, ABS(SUMIFS(D30:D$1000, C30:C$1000, _xlpm.v_ticker, D30:D$1000,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30" spans="1:19" x14ac:dyDescent="0.45">
      <c r="A30" s="12">
        <v>46035</v>
      </c>
      <c r="B30" s="3" t="s">
        <v>224</v>
      </c>
      <c r="C30" s="3" t="s">
        <v>267</v>
      </c>
      <c r="D30" s="3">
        <v>1</v>
      </c>
      <c r="E30" s="3">
        <v>0.51</v>
      </c>
      <c r="F30" s="3">
        <v>-0.24875</v>
      </c>
      <c r="G30" s="3">
        <v>-51.248750000000001</v>
      </c>
      <c r="H30" s="14">
        <f t="shared" si="0"/>
        <v>46129</v>
      </c>
      <c r="I30" s="60" t="str" cm="1">
        <f t="array" ref="I30">IF(MID(C30,13,1)="C","Call",IF(MID(C30,13,1)="P","Put",IF(D30&gt;0,_xlfn._xlws.FILTER(C31:C$100,(ISNUMBER(SEARCH(C30,C31:C$100)))*(J31:J$100=E30)*((($B30="assignment")*(I31:I$100="put")*(D31:D$100&lt;0))+(($B30="exercise")*(I31:I$100="call")*(D31:D$100&gt;0)))*(H31:H$100=_xlfn.MINIFS(H31:H$100,C31:C$100,"*"&amp;C30&amp;"*",J31:J$100,E30,I31:I$100,IF(B30="assignment","put","call"),D31:D$100,IF(B30="assignment","&lt;0","&gt;0"),H31:H$100,"&gt;="&amp;A30)),""),"")))</f>
        <v>Put</v>
      </c>
      <c r="J30" s="9">
        <f t="shared" si="1"/>
        <v>25</v>
      </c>
      <c r="K30" s="9">
        <v>17.853999999999999</v>
      </c>
      <c r="L30" s="5">
        <f>SUMIF(C30:C$33,C30,D30:D$33)</f>
        <v>1</v>
      </c>
      <c r="M30" s="10" cm="1">
        <f t="array" ref="M30">IF(L30&gt;0,IF(L30&gt;_xlfn.XLOOKUP(C30,C31:C$34,L31:L$34,0,0,1),(_xlfn.XLOOKUP(C30,C31:C$34,M31:M$34,0,0,1)*_xlfn.XLOOKUP(C30,C31:C$34,L31:L$34,0,0,1)-G30*K30+_xlfn.XLOOKUP(I30,C31:C$34,M31:M$34,0,0,1)*_xlfn.XLOOKUP(I30,C31:C$34,L31:L$34,0,0,1)/D30*100)/L30,_xlfn.XLOOKUP(C30,C31:C$34,M31:M$34,0,0,1)),IF(L30&lt;0,IF(L30&lt;_xlfn.XLOOKUP(C30,C31:C$34,L31:L$34,0,0,1),(_xlfn.XLOOKUP(C30,C31:C$34,M31:M$34,0,0,1)*_xlfn.XLOOKUP(C30,C31:C$34,L31:L$34,0,0,1)-G30*K30)/L30,_xlfn.XLOOKUP(C30,C31:C$34,M31:M$34,0,0,1)),0))</f>
        <v>914.99518249999994</v>
      </c>
      <c r="N30" s="10" cm="1">
        <f t="array" ref="N30">IF(_xlfn.XLOOKUP(C30,I$2:I30,I$2:I30,0,0,-1)=C30,0,IF(AND(H30&lt;&gt;"0",H30&lt;Resumen!$B$3,_xlfn.XLOOKUP(C30,C$2:C999,L$2:L999,,0,1)&lt;&gt;0),G30*K30,IFERROR(IF(_xlfn.XLOOKUP(C30,C31:C$34,L31:L$34,,0,1)&lt;0,IF(L30&gt;_xlfn.XLOOKUP(C30,C31:C$34,L31:L$34,,0,1),D30*_xlfn.XLOOKUP(C30,C31:C$34,M31:M$34,,0,1)+G30*K30,0),IF(_xlfn.XLOOKUP(C30,C31:C$34,L31:L$34,,0,1)&gt;0,IF(L30&lt;_xlfn.XLOOKUP(C30,C31:C$34,L31:L$34,,0,1),G30*K30-_xlfn.XLOOKUP(C30,C31:C$34,M31:M$34,,0,1)*-D30,0),0)),0)))</f>
        <v>-914.99518249999994</v>
      </c>
      <c r="O30" s="56">
        <v>143.58799999999999</v>
      </c>
      <c r="P30" s="56">
        <v>143.042</v>
      </c>
      <c r="Q30" s="10" cm="1">
        <f t="array" ref="Q30">IF(L30&gt;0,IF(L30&gt;_xlfn.XLOOKUP(C30,C31:C$34,L31:L$34,0,0,1),(_xlfn.XLOOKUP(C30,C31:C$34,Q31:Q$34,0,0,1)*MAX(1,O30/_xlfn.XLOOKUP(C30,C31:C$1000,O31:O$1000,O30,0,1))*_xlfn.XLOOKUP(C30,C31:C$1000,L31:L$1000,0,0,1)+IF(_xlfn.XLOOKUP(I30,C31:C$34,I31:I$34,0,0,1)="put",-_xlfn.XLOOKUP(I30,C31:C$34,Q31:Q$34,0,0,1)*D30/100,_xlfn.XLOOKUP(I30,C31:C$34,Q31:Q$34,0,0,1)*D30/100)-G30*K30)/L30,_xlfn.XLOOKUP(C30,C31:C$34,Q31:Q$34,,0,1)*MAX(1,O30/_xlfn.XLOOKUP(C30,C31:C$1000,O31:O$1000,O30,0,1))),IF(L30&lt;0,IF(L30&lt;_xlfn.XLOOKUP(C30,C31:C$34,L31:L$34,0,0,1),(_xlfn.XLOOKUP(C30,C31:C$34,Q31:Q$34,0,0,1)-G30*K30)/L30,_xlfn.XLOOKUP(C30,C31:C$34,Q31:Q$34,,0,1)),0))</f>
        <v>914.99518249999994</v>
      </c>
      <c r="R30" s="59" cm="1">
        <f t="array" ref="R30">IF(_xlfn.XLOOKUP(C30,I$2:I30,I$2:I30,0,0,-1)=C30,0,IF(AND(H30&lt;&gt;"0",H30&lt;Resumen!$B$3,_xlfn.XLOOKUP(C30,C$2:C999,L$2:L999,,0,1)&lt;&gt;0),G30*K30,IFERROR(IF(_xlfn.XLOOKUP(C30,C31:C$34,L31:L$34,,0,1)&lt;0,IF(L30&gt;_xlfn.XLOOKUP(C30,C31:C$34,L31:L$34,,0,1),D30*_xlfn.XLOOKUP(C30,C31:C$34,Q31:Q$34,,0,1)+G30*K30,0),IF(_xlfn.XLOOKUP(C30,C31:C$34,L31:L$34,,0,1)&gt;0,IF(L30&lt;_xlfn.XLOOKUP(C30,C31:C$34,L31:L$34,,0,1),+G30*K30-_xlfn.XLOOKUP(C30,C31:C$34,Q31:Q$34,,0,1)*-D30*MAX(1,P30/_xlfn.XLOOKUP(C30,C31:C$34,O31:O$34,P30,0,1)),0),0)),0)))</f>
        <v>-914.99518249999994</v>
      </c>
      <c r="S30" s="56" cm="1">
        <f t="array" ref="S30">IF(AND(H30&lt;&gt;"0",R30&lt;&gt;0),1,IF(R30=0,"-",IF(D30&lt;0, _xlfn.LET(_xlpm.v_cant, ABS(D30), _xlpm.v_fecha, A30, _xlpm.v_ticker, C30, _xlpm.rango_f, A31:A$1000, _xlpm.rango_t, D31:D$1000, _xlpm.filtro, C31:C$1000=_xlpm.v_ticker, _xlpm.c_fechas, _xlfn._xlws.FILTER(_xlpm.rango_f, _xlpm.filtro*(_xlpm.rango_t&gt;0), _xlpm.v_fecha), _xlpm.c_cants, _xlfn._xlws.FILTER(_xlpm.rango_t, _xlpm.filtro*(_xlpm.rango_t&gt;0), 0), _xlpm.v_acums_pasadas, ABS(SUMIFS(D31:D$1000, C31:C$1000, _xlpm.v_ticker, D31:D$1000,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31" spans="1:19" x14ac:dyDescent="0.45">
      <c r="A31" s="12">
        <v>46035</v>
      </c>
      <c r="B31" s="3" t="s">
        <v>222</v>
      </c>
      <c r="C31" s="3" t="s">
        <v>235</v>
      </c>
      <c r="D31" s="3">
        <v>-1</v>
      </c>
      <c r="E31" s="3">
        <v>2.2200000000000002</v>
      </c>
      <c r="F31" s="3">
        <v>-0.25203999999999999</v>
      </c>
      <c r="G31" s="3">
        <v>221.74796000000001</v>
      </c>
      <c r="H31" s="14">
        <f t="shared" si="0"/>
        <v>46129</v>
      </c>
      <c r="I31" s="60" t="str" cm="1">
        <f t="array" ref="I31">IF(MID(C31,13,1)="C","Call",IF(MID(C31,13,1)="P","Put",IF(D31&gt;0,_xlfn._xlws.FILTER(C32:C$100,(ISNUMBER(SEARCH(C31,C32:C$100)))*(J32:J$100=E31)*((($B31="assignment")*(I32:I$100="put")*(D32:D$100&lt;0))+(($B31="exercise")*(I32:I$100="call")*(D32:D$100&gt;0)))*(H32:H$100=_xlfn.MINIFS(H32:H$100,C32:C$100,"*"&amp;C31&amp;"*",J32:J$100,E31,I32:I$100,IF(B31="assignment","put","call"),D32:D$100,IF(B31="assignment","&lt;0","&gt;0"),H32:H$100,"&gt;="&amp;A31)),""),"")))</f>
        <v>Call</v>
      </c>
      <c r="J31" s="9">
        <f t="shared" si="1"/>
        <v>35</v>
      </c>
      <c r="K31" s="9">
        <v>17.853999999999999</v>
      </c>
      <c r="L31" s="5">
        <f>SUMIF(C31:C$33,C31,D31:D$33)</f>
        <v>-1</v>
      </c>
      <c r="M31" s="10" cm="1">
        <f t="array" ref="M31">IF(L31&gt;0,IF(L31&gt;_xlfn.XLOOKUP(C31,C32:C$34,L32:L$34,0,0,1),(_xlfn.XLOOKUP(C31,C32:C$34,M32:M$34,0,0,1)*_xlfn.XLOOKUP(C31,C32:C$34,L32:L$34,0,0,1)-G31*K31+_xlfn.XLOOKUP(I31,C32:C$34,M32:M$34,0,0,1)*_xlfn.XLOOKUP(I31,C32:C$34,L32:L$34,0,0,1)/D31*100)/L31,_xlfn.XLOOKUP(C31,C32:C$34,M32:M$34,0,0,1)),IF(L31&lt;0,IF(L31&lt;_xlfn.XLOOKUP(C31,C32:C$34,L32:L$34,0,0,1),(_xlfn.XLOOKUP(C31,C32:C$34,M32:M$34,0,0,1)*_xlfn.XLOOKUP(C31,C32:C$34,L32:L$34,0,0,1)-G31*K31)/L31,_xlfn.XLOOKUP(C31,C32:C$34,M32:M$34,0,0,1)),0))</f>
        <v>3959.0880778400001</v>
      </c>
      <c r="N31" s="10" cm="1">
        <f t="array" ref="N31">IF(_xlfn.XLOOKUP(C31,I$2:I31,I$2:I31,0,0,-1)=C31,0,IF(AND(H31&lt;&gt;"0",H31&lt;Resumen!$B$3,_xlfn.XLOOKUP(C31,C$2:C1000,L$2:L1000,,0,1)&lt;&gt;0),G31*K31,IFERROR(IF(_xlfn.XLOOKUP(C31,C32:C$34,L32:L$34,,0,1)&lt;0,IF(L31&gt;_xlfn.XLOOKUP(C31,C32:C$34,L32:L$34,,0,1),D31*_xlfn.XLOOKUP(C31,C32:C$34,M32:M$34,,0,1)+G31*K31,0),IF(_xlfn.XLOOKUP(C31,C32:C$34,L32:L$34,,0,1)&gt;0,IF(L31&lt;_xlfn.XLOOKUP(C31,C32:C$34,L32:L$34,,0,1),G31*K31-_xlfn.XLOOKUP(C31,C32:C$34,M32:M$34,,0,1)*-D31,0),0)),0)))</f>
        <v>0</v>
      </c>
      <c r="O31" s="56">
        <v>143.58799999999999</v>
      </c>
      <c r="P31" s="56">
        <v>143.042</v>
      </c>
      <c r="Q31" s="10" cm="1">
        <f t="array" ref="Q31">IF(L31&gt;0,IF(L31&gt;_xlfn.XLOOKUP(C31,C32:C$34,L32:L$34,0,0,1),(_xlfn.XLOOKUP(C31,C32:C$34,Q32:Q$34,0,0,1)*MAX(1,O31/_xlfn.XLOOKUP(C31,C32:C$1000,O32:O$1000,O31,0,1))*_xlfn.XLOOKUP(C31,C32:C$1000,L32:L$1000,0,0,1)+IF(_xlfn.XLOOKUP(I31,C32:C$34,I32:I$34,0,0,1)="put",-_xlfn.XLOOKUP(I31,C32:C$34,Q32:Q$34,0,0,1)*D31/100,_xlfn.XLOOKUP(I31,C32:C$34,Q32:Q$34,0,0,1)*D31/100)-G31*K31)/L31,_xlfn.XLOOKUP(C31,C32:C$34,Q32:Q$34,,0,1)*MAX(1,O31/_xlfn.XLOOKUP(C31,C32:C$1000,O32:O$1000,O31,0,1))),IF(L31&lt;0,IF(L31&lt;_xlfn.XLOOKUP(C31,C32:C$34,L32:L$34,0,0,1),(_xlfn.XLOOKUP(C31,C32:C$34,Q32:Q$34,0,0,1)-G31*K31)/L31,_xlfn.XLOOKUP(C31,C32:C$34,Q32:Q$34,,0,1)),0))</f>
        <v>3959.0880778400001</v>
      </c>
      <c r="R31" s="59" cm="1">
        <f t="array" ref="R31">IF(_xlfn.XLOOKUP(C31,I$2:I31,I$2:I31,0,0,-1)=C31,0,IF(AND(H31&lt;&gt;"0",H31&lt;Resumen!$B$3,_xlfn.XLOOKUP(C31,C$2:C1000,L$2:L1000,,0,1)&lt;&gt;0),G31*K31,IFERROR(IF(_xlfn.XLOOKUP(C31,C32:C$34,L32:L$34,,0,1)&lt;0,IF(L31&gt;_xlfn.XLOOKUP(C31,C32:C$34,L32:L$34,,0,1),D31*_xlfn.XLOOKUP(C31,C32:C$34,Q32:Q$34,,0,1)+G31*K31,0),IF(_xlfn.XLOOKUP(C31,C32:C$34,L32:L$34,,0,1)&gt;0,IF(L31&lt;_xlfn.XLOOKUP(C31,C32:C$34,L32:L$34,,0,1),+G31*K31-_xlfn.XLOOKUP(C31,C32:C$34,Q32:Q$34,,0,1)*-D31*MAX(1,P31/_xlfn.XLOOKUP(C31,C32:C$34,O32:O$34,P31,0,1)),0),0)),0)))</f>
        <v>0</v>
      </c>
      <c r="S31" s="56" t="str" cm="1">
        <f t="array" ref="S31">IF(AND(H31&lt;&gt;"0",R31&lt;&gt;0),1,IF(R31=0,"-",IF(D31&lt;0, _xlfn.LET(_xlpm.v_cant, ABS(D31), _xlpm.v_fecha, A31, _xlpm.v_ticker, C31, _xlpm.rango_f, A32:A$1000, _xlpm.rango_t, D32:D$1000, _xlpm.filtro, C32:C$1000=_xlpm.v_ticker, _xlpm.c_fechas, _xlfn._xlws.FILTER(_xlpm.rango_f, _xlpm.filtro*(_xlpm.rango_t&gt;0), _xlpm.v_fecha), _xlpm.c_cants, _xlfn._xlws.FILTER(_xlpm.rango_t, _xlpm.filtro*(_xlpm.rango_t&gt;0), 0), _xlpm.v_acums_pasadas, ABS(SUMIFS(D32:D$1000, C32:C$1000, _xlpm.v_ticker, D32:D$1000,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</row>
    <row r="32" spans="1:19" x14ac:dyDescent="0.45">
      <c r="A32" s="12">
        <v>46035</v>
      </c>
      <c r="B32" s="3" t="s">
        <v>224</v>
      </c>
      <c r="C32" s="3" t="s">
        <v>269</v>
      </c>
      <c r="D32" s="3">
        <v>1</v>
      </c>
      <c r="E32" s="3">
        <v>0.81</v>
      </c>
      <c r="F32" s="3">
        <v>-0.24875</v>
      </c>
      <c r="G32" s="3">
        <v>-81.248750000000001</v>
      </c>
      <c r="H32" s="14">
        <f t="shared" si="0"/>
        <v>46129</v>
      </c>
      <c r="I32" s="60" t="str" cm="1">
        <f t="array" ref="I32">IF(MID(C32,13,1)="C","Call",IF(MID(C32,13,1)="P","Put",IF(D32&gt;0,_xlfn._xlws.FILTER(C33:C$100,(ISNUMBER(SEARCH(C32,C33:C$100)))*(J33:J$100=E32)*((($B32="assignment")*(I33:I$100="put")*(D33:D$100&lt;0))+(($B32="exercise")*(I33:I$100="call")*(D33:D$100&gt;0)))*(H33:H$100=_xlfn.MINIFS(H33:H$100,C33:C$100,"*"&amp;C32&amp;"*",J33:J$100,E32,I33:I$100,IF(B32="assignment","put","call"),D33:D$100,IF(B32="assignment","&lt;0","&gt;0"),H33:H$100,"&gt;="&amp;A32)),""),"")))</f>
        <v>Call</v>
      </c>
      <c r="J32" s="9">
        <f t="shared" si="1"/>
        <v>45</v>
      </c>
      <c r="K32" s="9">
        <v>17.853999999999999</v>
      </c>
      <c r="L32" s="5">
        <f>SUMIF(C32:C$33,C32,D32:D$33)</f>
        <v>1</v>
      </c>
      <c r="M32" s="10" cm="1">
        <f t="array" ref="M32">IF(L32&gt;0,IF(L32&gt;_xlfn.XLOOKUP(C32,C33:C$34,L33:L$34,0,0,1),(_xlfn.XLOOKUP(C32,C33:C$34,M33:M$34,0,0,1)*_xlfn.XLOOKUP(C32,C33:C$34,L33:L$34,0,0,1)-G32*K32+_xlfn.XLOOKUP(I32,C33:C$34,M33:M$34,0,0,1)*_xlfn.XLOOKUP(I32,C33:C$34,L33:L$34,0,0,1)/D32*100)/L32,_xlfn.XLOOKUP(C32,C33:C$34,M33:M$34,0,0,1)),IF(L32&lt;0,IF(L32&lt;_xlfn.XLOOKUP(C32,C33:C$34,L33:L$34,0,0,1),(_xlfn.XLOOKUP(C32,C33:C$34,M33:M$34,0,0,1)*_xlfn.XLOOKUP(C32,C33:C$34,L33:L$34,0,0,1)-G32*K32)/L32,_xlfn.XLOOKUP(C32,C33:C$34,M33:M$34,0,0,1)),0))</f>
        <v>1450.6151824999999</v>
      </c>
      <c r="N32" s="10" cm="1">
        <f t="array" ref="N32">IF(_xlfn.XLOOKUP(C32,I$2:I32,I$2:I32,0,0,-1)=C32,0,IF(AND(H32&lt;&gt;"0",H32&lt;Resumen!$B$3,_xlfn.XLOOKUP(C32,C$2:C1001,L$2:L1001,,0,1)&lt;&gt;0),G32*K32,IFERROR(IF(_xlfn.XLOOKUP(C32,C33:C$34,L33:L$34,,0,1)&lt;0,IF(L32&gt;_xlfn.XLOOKUP(C32,C33:C$34,L33:L$34,,0,1),D32*_xlfn.XLOOKUP(C32,C33:C$34,M33:M$34,,0,1)+G32*K32,0),IF(_xlfn.XLOOKUP(C32,C33:C$34,L33:L$34,,0,1)&gt;0,IF(L32&lt;_xlfn.XLOOKUP(C32,C33:C$34,L33:L$34,,0,1),G32*K32-_xlfn.XLOOKUP(C32,C33:C$34,M33:M$34,,0,1)*-D32,0),0)),0)))</f>
        <v>-1450.6151824999999</v>
      </c>
      <c r="O32" s="56">
        <v>143.58799999999999</v>
      </c>
      <c r="P32" s="56">
        <v>143.042</v>
      </c>
      <c r="Q32" s="10" cm="1">
        <f t="array" ref="Q32">IF(L32&gt;0,IF(L32&gt;_xlfn.XLOOKUP(C32,C33:C$34,L33:L$34,0,0,1),(_xlfn.XLOOKUP(C32,C33:C$34,Q33:Q$34,0,0,1)*MAX(1,O32/_xlfn.XLOOKUP(C32,C33:C$1000,O33:O$1000,O32,0,1))*_xlfn.XLOOKUP(C32,C33:C$1000,L33:L$1000,0,0,1)+IF(_xlfn.XLOOKUP(I32,C33:C$34,I33:I$34,0,0,1)="put",-_xlfn.XLOOKUP(I32,C33:C$34,Q33:Q$34,0,0,1)*D32/100,_xlfn.XLOOKUP(I32,C33:C$34,Q33:Q$34,0,0,1)*D32/100)-G32*K32)/L32,_xlfn.XLOOKUP(C32,C33:C$34,Q33:Q$34,,0,1)*MAX(1,O32/_xlfn.XLOOKUP(C32,C33:C$1000,O33:O$1000,O32,0,1))),IF(L32&lt;0,IF(L32&lt;_xlfn.XLOOKUP(C32,C33:C$34,L33:L$34,0,0,1),(_xlfn.XLOOKUP(C32,C33:C$34,Q33:Q$34,0,0,1)-G32*K32)/L32,_xlfn.XLOOKUP(C32,C33:C$34,Q33:Q$34,,0,1)),0))</f>
        <v>1450.6151824999999</v>
      </c>
      <c r="R32" s="59" cm="1">
        <f t="array" ref="R32">IF(_xlfn.XLOOKUP(C32,I$2:I32,I$2:I32,0,0,-1)=C32,0,IF(AND(H32&lt;&gt;"0",H32&lt;Resumen!$B$3,_xlfn.XLOOKUP(C32,C$2:C1001,L$2:L1001,,0,1)&lt;&gt;0),G32*K32,IFERROR(IF(_xlfn.XLOOKUP(C32,C33:C$34,L33:L$34,,0,1)&lt;0,IF(L32&gt;_xlfn.XLOOKUP(C32,C33:C$34,L33:L$34,,0,1),D32*_xlfn.XLOOKUP(C32,C33:C$34,Q33:Q$34,,0,1)+G32*K32,0),IF(_xlfn.XLOOKUP(C32,C33:C$34,L33:L$34,,0,1)&gt;0,IF(L32&lt;_xlfn.XLOOKUP(C32,C33:C$34,L33:L$34,,0,1),+G32*K32-_xlfn.XLOOKUP(C32,C33:C$34,Q33:Q$34,,0,1)*-D32*MAX(1,P32/_xlfn.XLOOKUP(C32,C33:C$34,O33:O$34,P32,0,1)),0),0)),0)))</f>
        <v>-1450.6151824999999</v>
      </c>
      <c r="S32" s="56" cm="1">
        <f t="array" ref="S32">IF(AND(H32&lt;&gt;"0",R32&lt;&gt;0),1,IF(R32=0,"-",IF(D32&lt;0, _xlfn.LET(_xlpm.v_cant, ABS(D32), _xlpm.v_fecha, A32, _xlpm.v_ticker, C32, _xlpm.rango_f, A33:A$1000, _xlpm.rango_t, D33:D$1000, _xlpm.filtro, C33:C$1000=_xlpm.v_ticker, _xlpm.c_fechas, _xlfn._xlws.FILTER(_xlpm.rango_f, _xlpm.filtro*(_xlpm.rango_t&gt;0), _xlpm.v_fecha), _xlpm.c_cants, _xlfn._xlws.FILTER(_xlpm.rango_t, _xlpm.filtro*(_xlpm.rango_t&gt;0), 0), _xlpm.v_acums_pasadas, ABS(SUMIFS(D33:D$1000, C33:C$1000, _xlpm.v_ticker, D33:D$1000,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33" spans="1:19" x14ac:dyDescent="0.45">
      <c r="A33" s="12">
        <v>46035</v>
      </c>
      <c r="B33" s="3" t="s">
        <v>222</v>
      </c>
      <c r="C33" s="3" t="s">
        <v>271</v>
      </c>
      <c r="D33" s="3">
        <v>-1</v>
      </c>
      <c r="E33" s="3">
        <v>2.42</v>
      </c>
      <c r="F33" s="3">
        <v>-0.25203999999999999</v>
      </c>
      <c r="G33" s="3">
        <v>241.74796000000001</v>
      </c>
      <c r="H33" s="14">
        <f t="shared" si="0"/>
        <v>46129</v>
      </c>
      <c r="I33" s="60" t="str" cm="1">
        <f t="array" ref="I33">IF(MID(C33,13,1)="C","Call",IF(MID(C33,13,1)="P","Put",IF(D33&gt;0,_xlfn._xlws.FILTER(C34:C$100,(ISNUMBER(SEARCH(C33,C34:C$100)))*(J34:J$100=E33)*((($B33="assignment")*(I34:I$100="put")*(D34:D$100&lt;0))+(($B33="exercise")*(I34:I$100="call")*(D34:D$100&gt;0)))*(H34:H$100=_xlfn.MINIFS(H34:H$100,C34:C$100,"*"&amp;C33&amp;"*",J34:J$100,E33,I34:I$100,IF(B33="assignment","put","call"),D34:D$100,IF(B33="assignment","&lt;0","&gt;0"),H34:H$100,"&gt;="&amp;A33)),""),"")))</f>
        <v>Put</v>
      </c>
      <c r="J33" s="9">
        <f t="shared" si="1"/>
        <v>30</v>
      </c>
      <c r="K33" s="9">
        <v>17.853999999999999</v>
      </c>
      <c r="L33" s="5">
        <f>SUMIF(C33:C$33,C33,D33:D$33)</f>
        <v>-1</v>
      </c>
      <c r="M33" s="10" cm="1">
        <f t="array" ref="M33">IF(L33&gt;0,IF(L33&gt;_xlfn.XLOOKUP(C33,C34:C$34,L34:L$34,0,0,1),(_xlfn.XLOOKUP(C33,C34:C$34,M34:M$34,0,0,1)*_xlfn.XLOOKUP(C33,C34:C$34,L34:L$34,0,0,1)-G33*K33+_xlfn.XLOOKUP(I33,C34:C$34,M34:M$34,0,0,1)*_xlfn.XLOOKUP(I33,C34:C$34,L34:L$34,0,0,1)/D33*100)/L33,_xlfn.XLOOKUP(C33,C34:C$34,M34:M$34,0,0,1)),IF(L33&lt;0,IF(L33&lt;_xlfn.XLOOKUP(C33,C34:C$34,L34:L$34,0,0,1),(_xlfn.XLOOKUP(C33,C34:C$34,M34:M$34,0,0,1)*_xlfn.XLOOKUP(C33,C34:C$34,L34:L$34,0,0,1)-G33*K33)/L33,_xlfn.XLOOKUP(C33,C34:C$34,M34:M$34,0,0,1)),0))</f>
        <v>4316.1680778399996</v>
      </c>
      <c r="N33" s="10" cm="1">
        <f t="array" ref="N33">IF(_xlfn.XLOOKUP(C33,I$2:I33,I$2:I33,0,0,-1)=C33,0,IF(AND(H33&lt;&gt;"0",H33&lt;Resumen!$B$3,_xlfn.XLOOKUP(C33,C$2:C1002,L$2:L1002,,0,1)&lt;&gt;0),G33*K33,IFERROR(IF(_xlfn.XLOOKUP(C33,C34:C$34,L34:L$34,,0,1)&lt;0,IF(L33&gt;_xlfn.XLOOKUP(C33,C34:C$34,L34:L$34,,0,1),D33*_xlfn.XLOOKUP(C33,C34:C$34,M34:M$34,,0,1)+G33*K33,0),IF(_xlfn.XLOOKUP(C33,C34:C$34,L34:L$34,,0,1)&gt;0,IF(L33&lt;_xlfn.XLOOKUP(C33,C34:C$34,L34:L$34,,0,1),G33*K33-_xlfn.XLOOKUP(C33,C34:C$34,M34:M$34,,0,1)*-D33,0),0)),0)))</f>
        <v>4316.1680778399996</v>
      </c>
      <c r="O33" s="56">
        <v>143.58799999999999</v>
      </c>
      <c r="P33" s="56">
        <v>143.042</v>
      </c>
      <c r="Q33" s="10" cm="1">
        <f t="array" ref="Q33">IF(L33&gt;0,IF(L33&gt;_xlfn.XLOOKUP(C33,C34:C$34,L34:L$34,0,0,1),(_xlfn.XLOOKUP(C33,C34:C$34,Q34:Q$34,0,0,1)*MAX(1,O33/_xlfn.XLOOKUP(C33,C34:C$1000,O34:O$1000,O33,0,1))*_xlfn.XLOOKUP(C33,C34:C$1000,L34:L$1000,0,0,1)+IF(_xlfn.XLOOKUP(I33,C34:C$34,I34:I$34,0,0,1)="put",-_xlfn.XLOOKUP(I33,C34:C$34,Q34:Q$34,0,0,1)*D33/100,_xlfn.XLOOKUP(I33,C34:C$34,Q34:Q$34,0,0,1)*D33/100)-G33*K33)/L33,_xlfn.XLOOKUP(C33,C34:C$34,Q34:Q$34,,0,1)*MAX(1,O33/_xlfn.XLOOKUP(C33,C34:C$1000,O34:O$1000,O33,0,1))),IF(L33&lt;0,IF(L33&lt;_xlfn.XLOOKUP(C33,C34:C$34,L34:L$34,0,0,1),(_xlfn.XLOOKUP(C33,C34:C$34,Q34:Q$34,0,0,1)-G33*K33)/L33,_xlfn.XLOOKUP(C33,C34:C$34,Q34:Q$34,,0,1)),0))</f>
        <v>4316.1680778399996</v>
      </c>
      <c r="R33" s="59" cm="1">
        <f t="array" ref="R33">IF(_xlfn.XLOOKUP(C33,I$2:I33,I$2:I33,0,0,-1)=C33,0,IF(AND(H33&lt;&gt;"0",H33&lt;Resumen!$B$3,_xlfn.XLOOKUP(C33,C$2:C1002,L$2:L1002,,0,1)&lt;&gt;0),G33*K33,IFERROR(IF(_xlfn.XLOOKUP(C33,C34:C$34,L34:L$34,,0,1)&lt;0,IF(L33&gt;_xlfn.XLOOKUP(C33,C34:C$34,L34:L$34,,0,1),D33*_xlfn.XLOOKUP(C33,C34:C$34,Q34:Q$34,,0,1)+G33*K33,0),IF(_xlfn.XLOOKUP(C33,C34:C$34,L34:L$34,,0,1)&gt;0,IF(L33&lt;_xlfn.XLOOKUP(C33,C34:C$34,L34:L$34,,0,1),+G33*K33-_xlfn.XLOOKUP(C33,C34:C$34,Q34:Q$34,,0,1)*-D33*MAX(1,P33/_xlfn.XLOOKUP(C33,C34:C$34,O34:O$34,P33,0,1)),0),0)),0)))</f>
        <v>4316.1680778399996</v>
      </c>
      <c r="S33" s="56" cm="1">
        <f t="array" ref="S33">IF(AND(H33&lt;&gt;"0",R33&lt;&gt;0),1,IF(R33=0,"-",IF(D33&lt;0, _xlfn.LET(_xlpm.v_cant, ABS(D33), _xlpm.v_fecha, A33, _xlpm.v_ticker, C33, _xlpm.rango_f, A34:A$1000, _xlpm.rango_t, D34:D$1000, _xlpm.filtro, C34:C$1000=_xlpm.v_ticker, _xlpm.c_fechas, _xlfn._xlws.FILTER(_xlpm.rango_f, _xlpm.filtro*(_xlpm.rango_t&gt;0), _xlpm.v_fecha), _xlpm.c_cants, _xlfn._xlws.FILTER(_xlpm.rango_t, _xlpm.filtro*(_xlpm.rango_t&gt;0), 0), _xlpm.v_acums_pasadas, ABS(SUMIFS(D34:D$1000, C34:C$1000, _xlpm.v_ticker, D34:D$1000,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</row>
    <row r="34" spans="1:19" x14ac:dyDescent="0.45">
      <c r="O34" s="55"/>
      <c r="P34" s="55"/>
    </row>
  </sheetData>
  <autoFilter ref="A1:N33" xr:uid="{CC2C7545-380F-4695-9903-0D050914F208}"/>
  <phoneticPr fontId="2" type="noConversion"/>
  <conditionalFormatting sqref="R1:R1048576">
    <cfRule type="cellIs" dxfId="2" priority="1" operator="lessThan">
      <formula>0</formula>
    </cfRule>
  </conditionalFormatting>
  <pageMargins left="0.7" right="0.7" top="0.75" bottom="0.75" header="0.3" footer="0.3"/>
  <ignoredErrors>
    <ignoredError sqref="R2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1C421-C409-40AD-8E42-E60A22F52A40}">
  <sheetPr>
    <tabColor theme="9"/>
  </sheetPr>
  <dimension ref="A1:W88"/>
  <sheetViews>
    <sheetView showGridLines="0" showRowColHeaders="0" zoomScale="99" workbookViewId="0"/>
  </sheetViews>
  <sheetFormatPr baseColWidth="10" defaultRowHeight="16" x14ac:dyDescent="0.45"/>
  <cols>
    <col min="1" max="1" width="10.90625" style="3"/>
    <col min="2" max="2" width="19.90625" style="3" customWidth="1"/>
    <col min="3" max="3" width="17.08984375" style="3" bestFit="1" customWidth="1"/>
    <col min="4" max="6" width="11" style="3" bestFit="1" customWidth="1"/>
    <col min="7" max="7" width="21.36328125" style="3" customWidth="1"/>
    <col min="8" max="8" width="11" style="3" bestFit="1" customWidth="1"/>
    <col min="9" max="9" width="12.81640625" style="5" customWidth="1"/>
    <col min="10" max="10" width="16.08984375" style="5" customWidth="1"/>
    <col min="11" max="11" width="12.81640625" style="5" customWidth="1"/>
    <col min="12" max="12" width="11" style="5" bestFit="1" customWidth="1"/>
    <col min="13" max="13" width="9.54296875" style="5" customWidth="1"/>
    <col min="14" max="14" width="11.08984375" style="9" bestFit="1" customWidth="1"/>
    <col min="15" max="15" width="12.26953125" style="10" customWidth="1"/>
    <col min="16" max="16" width="12.6328125" style="10" customWidth="1"/>
    <col min="17" max="17" width="15.26953125" style="3" customWidth="1"/>
    <col min="18" max="18" width="14.1796875" style="3" customWidth="1"/>
    <col min="19" max="19" width="15.453125" style="3" customWidth="1"/>
    <col min="20" max="20" width="16.26953125" style="3" customWidth="1"/>
    <col min="21" max="21" width="15.90625" style="3" customWidth="1"/>
    <col min="22" max="16384" width="10.90625" style="3"/>
  </cols>
  <sheetData>
    <row r="1" spans="1:23" s="6" customFormat="1" ht="48" x14ac:dyDescent="0.35">
      <c r="A1" s="7" t="s">
        <v>272</v>
      </c>
      <c r="B1" s="7" t="s">
        <v>218</v>
      </c>
      <c r="C1" s="7" t="s">
        <v>532</v>
      </c>
      <c r="D1" s="7" t="s">
        <v>273</v>
      </c>
      <c r="E1" s="7" t="s">
        <v>274</v>
      </c>
      <c r="F1" s="7" t="s">
        <v>275</v>
      </c>
      <c r="G1" s="7" t="s">
        <v>276</v>
      </c>
      <c r="H1" s="16" t="s">
        <v>277</v>
      </c>
      <c r="I1" s="21" t="s">
        <v>213</v>
      </c>
      <c r="J1" s="17" t="s">
        <v>530</v>
      </c>
      <c r="K1" s="17" t="s">
        <v>531</v>
      </c>
      <c r="L1" s="17" t="s">
        <v>278</v>
      </c>
      <c r="M1" s="17" t="s">
        <v>363</v>
      </c>
      <c r="N1" s="18" t="s">
        <v>215</v>
      </c>
      <c r="O1" s="17" t="s">
        <v>528</v>
      </c>
      <c r="P1" s="17" t="s">
        <v>523</v>
      </c>
      <c r="Q1" s="17" t="s">
        <v>524</v>
      </c>
      <c r="R1" s="17" t="s">
        <v>525</v>
      </c>
      <c r="S1" s="17" t="s">
        <v>529</v>
      </c>
      <c r="T1" s="17" t="s">
        <v>526</v>
      </c>
      <c r="U1" s="17" t="s">
        <v>527</v>
      </c>
    </row>
    <row r="2" spans="1:23" x14ac:dyDescent="0.45">
      <c r="A2" s="3" t="s">
        <v>222</v>
      </c>
      <c r="B2" s="3" t="s">
        <v>280</v>
      </c>
      <c r="D2" s="3">
        <v>2</v>
      </c>
      <c r="E2" s="3">
        <v>0.85</v>
      </c>
      <c r="F2" s="3">
        <v>170</v>
      </c>
      <c r="G2" s="3" t="s">
        <v>281</v>
      </c>
      <c r="H2" s="3">
        <v>3.99</v>
      </c>
      <c r="I2" s="14">
        <f>IFERROR(DATE(MID(G2, FIND(",", G2)+2, 4), MATCH(LEFT(G2, 3), {"Jan","Feb","Mar","Apr","May","Jun","Jul","Aug","Sep","Oct","Nov","Dec"}, 0), MID(G2, 5, FIND(",", G2)-5)) + VALUE(MID(G2, FIND(":", G2)-2, 8)),I3)</f>
        <v>46146.58021990741</v>
      </c>
      <c r="J2" s="60" t="str" cm="1">
        <f t="array" ref="J2">IF(OR(ISNUMBER(SEARCH("C",B2)),ISNUMBER(SEARCH("P",B2))),IF(ISNUMBER(SEARCH("C",B2)),"Call","Put"),IF(AND(E2&lt;&gt;0,OR(C2="option exercised",C2="option assigned"),A2="buy"),_xlfn._xlws.FILTER(B$2:B$100,(LEFT(B$2:B$100,LEN(B2))=B2)*(LEN(B$2:B$100)&gt;LEN(B2))*(K$2:K$100=E2)*(I$2:I$100=I2)*(C$2:C$100=C2)*((C2="option assigned")*(ISNUMBER(SEARCH("P",B$2:B$100)))+(C2="option exercised")*(ISNUMBER(SEARCH("C",B$2:B$100)))),""),""))</f>
        <v>Call</v>
      </c>
      <c r="K2" s="9">
        <f>IFERROR(VALUE(MID(B2, FIND(IF(ISNUMBER(SEARCH("C",B2)), "C", "P"), B2) + 1, 8)) / 1000, 0)</f>
        <v>1</v>
      </c>
      <c r="L2" s="5">
        <f t="shared" ref="L2:L33" si="0">IF(A2="buy",D2,-D2)</f>
        <v>-2</v>
      </c>
      <c r="M2" s="5">
        <f>SUMIF(B2:B$88,B2,L2:L$88)</f>
        <v>0</v>
      </c>
      <c r="N2" s="9">
        <v>17.515699999999999</v>
      </c>
      <c r="O2" s="10" cm="1">
        <f t="array" ref="O2">IF(F2=0,_xlfn.XLOOKUP(B2,B3:B$89,O3:O$89,0,0,1),IF(_xlfn.XLOOKUP(B2,B3:B$89,M3:M$89,1,0,1)=0,IF(M2&gt;0,(F2+H2)*N2/M2,(F2-H2)*N2/-M2),IF(M2&gt;0,IF(M2&gt;_xlfn.XLOOKUP(B2,B3:B$89,M3:M$89,0,0,1),(_xlfn.XLOOKUP(B2,B3:B$89,O3:O$89,0,0,1)*_xlfn.XLOOKUP(B2,B3:B$89,M3:M$89,0,0,1)+(F2+H2)*N2+IF(_xlfn.XLOOKUP(J2,B3:B$89,J3:J$89,0,0,1)="put",-_xlfn.XLOOKUP(J2,B3:B$89,O3:O$89,0,0,1)*L2/100,_xlfn.XLOOKUP(J2,B3:B$89,O3:O$89,0,0,1)*L2/100))/M2,_xlfn.XLOOKUP(B2,B3:B$89,O3:O$89,,0,1)),IF(M2&lt;0,IF(M2&lt;_xlfn.XLOOKUP(B2,B3:B$89,M3:M$89,0,0,1),(_xlfn.XLOOKUP(B2,B3:B$89,O3:O$89,0,0,1)*_xlfn.XLOOKUP(B2,B3:B$89,M3:M$89,0,0,1)-(F2-H2)*N2)/M2,_xlfn.XLOOKUP(B2,B3:B$89,O2:O$88,,0,1)),0))))</f>
        <v>0</v>
      </c>
      <c r="P2" s="10" cm="1">
        <f t="array" ref="P2">IF(_xlfn.XLOOKUP(B2,J2:J$2,J2:J$2,0,0,-1)=B2,0,IF(G2="",-H2*N2,IFERROR(IF(_xlfn.XLOOKUP(B2,B3:B$89,M3:M$89,,0,1)&lt;0,IF(M2&gt;_xlfn.XLOOKUP(B2,B3:B$89,M3:M$89,,0,1),L2*_xlfn.XLOOKUP(B2,B3:B$89,O3:O$89,,0,1)+(-F2-H2)*N2,0),IF(_xlfn.XLOOKUP(B2,B3:B$89,M3:M$89,,0,1)&gt;0,IF(M2&lt;_xlfn.XLOOKUP(B2,B3:B$89,M3:M$89,,0,1),(F2-H2)*N2-_xlfn.XLOOKUP(B2,B3:B$89,O3:O$89,,0,1)*-L2,0),0)),0)))</f>
        <v>581.232215</v>
      </c>
      <c r="Q2" s="56">
        <v>145.52699999999999</v>
      </c>
      <c r="R2" s="56">
        <v>145.83099999999999</v>
      </c>
      <c r="S2" s="10" cm="1">
        <f t="array" ref="S2">IF(F2=0,_xlfn.XLOOKUP(B2,B3:B$89,S3:S$89,0,0,1),IF(_xlfn.XLOOKUP(B2,B3:B$89,M3:M$89,1,0,1)=0,IF(M2&gt;0,(F2+H2)*N2/M2,(F2-H2)*N2/-M2),IF(M2&gt;0,IF(M2&gt;_xlfn.XLOOKUP(B2,B3:B$89,M3:M$89,0,0,1),(_xlfn.XLOOKUP(B2,B3:B$89,S3:S$89,0,0,1)*MAX(1,Q2/_xlfn.XLOOKUP(B2,B3:B$89,Q3:Q$89,Q2,0,1))*_xlfn.XLOOKUP(B2,B3:B$89,M3:M$89,0,0,1)+(F2+H2)*N2+IF(_xlfn.XLOOKUP(J2,B3:B$89,J3:J$89,0,0,1)="put",-_xlfn.XLOOKUP(J2,B3:B$89,S3:S$89,0,0,1)*L2/100,_xlfn.XLOOKUP(J2,B3:B$89,S3:S$89,0,0,1)*L2/100))/M2,_xlfn.XLOOKUP(B2,B3:B$89,S3:S$89,,0,1)*MAX(1,Q2/_xlfn.XLOOKUP(B2,B3:B$89,Q3:Q$89,Q2,0,1))),IF(M2&lt;0,IF(M2&lt;_xlfn.XLOOKUP(B2,B3:B$89,M3:M$89,0,0,1),(_xlfn.XLOOKUP(B2,B3:B$89,S3:S$89,0,0,1)*_xlfn.XLOOKUP(B2,B3:B$89,M3:M$89,0,0,1)-(F2-H2)*N2)/M2,_xlfn.XLOOKUP(B2,B3:B$89,S3:S$89,,0,1)),0))))</f>
        <v>0</v>
      </c>
      <c r="T2" s="59" cm="1">
        <f t="array" ref="T2">IF(_xlfn.XLOOKUP(B2,J$2:J2,J$2:J2,0,0,-1)=B2,0,IF(G2="",-H2*N2,IFERROR(IF(_xlfn.XLOOKUP(B2,B3:B$89,M3:M$89,,0,1)&lt;0,IF(M2&gt;_xlfn.XLOOKUP(B2,B3:B$89,M3:M$89,,0,1),L2*_xlfn.XLOOKUP(B2,B3:B$89,S3:S$89,,0,1)+(-F2-H2)*N2,0),IF(_xlfn.XLOOKUP(B2,B3:B$89,M3:M$89,,0,1)&gt;0,IF(M2&lt;_xlfn.XLOOKUP(B2,B3:B$89,M3:M$89,,0,1),(F2-H2)*N2-_xlfn.XLOOKUP(B2,B3:B$89,S3:S$89,,0,1)*-L2*MAX(1,R2/_xlfn.XLOOKUP(B2,B3:B$89,Q3:Q$89,R2,0,1)),0),0)),0)))</f>
        <v>518.95197461932366</v>
      </c>
      <c r="U2" s="56" cm="1">
        <f t="array" ref="U2">IF(AND(OR(J2="call",J2="put"),T2&lt;&gt;0),1,IF(T2=0,"-",IF(L2&lt;0, _xlfn.LET(_xlpm.v_cant, ABS(L2), _xlpm.v_fecha, I2, _xlpm.v_ticker, B2, _xlpm.rango_f, I3:I$1000, _xlpm.rango_t, L3:L$1000, _xlpm.filtro, B3:B$1000=_xlpm.v_ticker, _xlpm.c_fechas, _xlfn._xlws.FILTER(_xlpm.rango_f, _xlpm.filtro*(_xlpm.rango_t&gt;0), _xlpm.v_fecha), _xlpm.c_cants, _xlfn._xlws.FILTER(_xlpm.rango_t, _xlpm.filtro*(_xlpm.rango_t&gt;0), 0), _xlpm.v_acums_pasadas, ABS(SUMIFS(L3:L$1000, B3:B$1000, _xlpm.v_ticker, L3:L$1000,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" s="11"/>
      <c r="W2" s="11"/>
    </row>
    <row r="3" spans="1:23" x14ac:dyDescent="0.45">
      <c r="A3" s="3" t="s">
        <v>222</v>
      </c>
      <c r="B3" s="3" t="s">
        <v>282</v>
      </c>
      <c r="D3" s="3">
        <v>1</v>
      </c>
      <c r="E3" s="3">
        <v>1.3</v>
      </c>
      <c r="F3" s="3">
        <v>130</v>
      </c>
      <c r="G3" s="3" t="s">
        <v>283</v>
      </c>
      <c r="H3" s="3">
        <v>2.99</v>
      </c>
      <c r="I3" s="14">
        <f>IFERROR(DATE(MID(G3, FIND(",", G3)+2, 4), MATCH(LEFT(G3, 3), {"Jan","Feb","Mar","Apr","May","Jun","Jul","Aug","Sep","Oct","Nov","Dec"}, 0), MID(G3, 5, FIND(",", G3)-5)) + VALUE(MID(G3, FIND(":", G3)-2, 8)),I4)</f>
        <v>46043.577939814815</v>
      </c>
      <c r="J3" s="60" t="str" cm="1">
        <f t="array" ref="J3">IF(OR(ISNUMBER(SEARCH("C",B3)),ISNUMBER(SEARCH("P",B3))),IF(ISNUMBER(SEARCH("C",B3)),"Call","Put"),IF(AND(E3&lt;&gt;0,OR(C3="option exercised",C3="option assigned"),A3="buy"),_xlfn._xlws.FILTER(B$2:B$100,(LEFT(B$2:B$100,LEN(B3))=B3)*(LEN(B$2:B$100)&gt;LEN(B3))*(K$2:K$100=E3)*(I$2:I$100=I3)*(C$2:C$100=C3)*((C3="option assigned")*(ISNUMBER(SEARCH("P",B$2:B$100)))+(C3="option exercised")*(ISNUMBER(SEARCH("C",B$2:B$100)))),""),""))</f>
        <v>Call</v>
      </c>
      <c r="K3" s="9">
        <f t="shared" ref="K3:K66" si="1">IFERROR(VALUE(MID(B3, FIND(IF(ISNUMBER(SEARCH("C",B3)), "C", "P"), B3) + 1, 8)) / 1000, 0)</f>
        <v>5</v>
      </c>
      <c r="L3" s="5">
        <f t="shared" si="0"/>
        <v>-1</v>
      </c>
      <c r="M3" s="5">
        <f>SUMIF(B3:B$88,B3,L3:L$88)</f>
        <v>0</v>
      </c>
      <c r="N3" s="9">
        <v>17.452000000000002</v>
      </c>
      <c r="O3" s="10" cm="1">
        <f t="array" ref="O3">IF(F3=0,_xlfn.XLOOKUP(B3,B4:B$89,O4:O$89,0,0,1),IF(_xlfn.XLOOKUP(B3,B4:B$89,M4:M$89,1,0,1)=0,IF(M3&gt;0,(F3+H3)*N3/M3,(F3-H3)*N3/-M3),IF(M3&gt;0,IF(M3&gt;_xlfn.XLOOKUP(B3,B4:B$89,M4:M$89,0,0,1),(_xlfn.XLOOKUP(B3,B4:B$89,O4:O$89,0,0,1)*_xlfn.XLOOKUP(B3,B4:B$89,M4:M$89,0,0,1)+(F3+H3)*N3+IF(_xlfn.XLOOKUP(J3,B4:B$89,J4:J$89,0,0,1)="put",-_xlfn.XLOOKUP(J3,B4:B$89,O4:O$89,0,0,1)*L3/100,_xlfn.XLOOKUP(J3,B4:B$89,O4:O$89,0,0,1)*L3/100))/M3,_xlfn.XLOOKUP(B3,B4:B$89,O4:O$89,,0,1)),IF(M3&lt;0,IF(M3&lt;_xlfn.XLOOKUP(B3,B4:B$89,M4:M$89,0,0,1),(_xlfn.XLOOKUP(B3,B4:B$89,O4:O$89,0,0,1)*_xlfn.XLOOKUP(B3,B4:B$89,M4:M$89,0,0,1)-(F3-H3)*N3)/M3,_xlfn.XLOOKUP(B3,B4:B$89,O3:O$88,,0,1)),0))))</f>
        <v>0</v>
      </c>
      <c r="P3" s="10" cm="1">
        <f t="array" ref="P3">IF(_xlfn.XLOOKUP(B3,J$2:J3,J$2:J3,0,0,-1)=B3,0,IF(G3="",-H3*N3,IFERROR(IF(_xlfn.XLOOKUP(B3,B4:B$89,M4:M$89,,0,1)&lt;0,IF(M3&gt;_xlfn.XLOOKUP(B3,B4:B$89,M4:M$89,,0,1),L3*_xlfn.XLOOKUP(B3,B4:B$89,O4:O$89,,0,1)+(-F3-H3)*N3,0),IF(_xlfn.XLOOKUP(B3,B4:B$89,M4:M$89,,0,1)&gt;0,IF(M3&lt;_xlfn.XLOOKUP(B3,B4:B$89,M4:M$89,,0,1),(F3-H3)*N3-_xlfn.XLOOKUP(B3,B4:B$89,O4:O$89,,0,1)*-L3,0),0)),0)))</f>
        <v>962.45537700000068</v>
      </c>
      <c r="Q3" s="56">
        <v>143.58799999999999</v>
      </c>
      <c r="R3" s="56">
        <v>143.042</v>
      </c>
      <c r="S3" s="10" cm="1">
        <f t="array" ref="S3">IF(F3=0,_xlfn.XLOOKUP(B3,B4:B$89,S4:S$89,0,0,1),IF(_xlfn.XLOOKUP(B3,B4:B$89,M4:M$89,1,0,1)=0,IF(M3&gt;0,(F3+H3)*N3/M3,(F3-H3)*N3/-M3),IF(M3&gt;0,IF(M3&gt;_xlfn.XLOOKUP(B3,B4:B$89,M4:M$89,0,0,1),(_xlfn.XLOOKUP(B3,B4:B$89,S4:S$89,0,0,1)*MAX(1,Q3/_xlfn.XLOOKUP(B3,B4:B$89,Q4:Q$89,Q3,0,1))*_xlfn.XLOOKUP(B3,B4:B$89,M4:M$89,0,0,1)+(F3+H3)*N3+IF(_xlfn.XLOOKUP(J3,B4:B$89,J4:J$89,0,0,1)="put",-_xlfn.XLOOKUP(J3,B4:B$89,S4:S$89,0,0,1)*L3/100,_xlfn.XLOOKUP(J3,B4:B$89,S4:S$89,0,0,1)*L3/100))/M3,_xlfn.XLOOKUP(B3,B4:B$89,S4:S$89,,0,1)*MAX(1,Q3/_xlfn.XLOOKUP(B3,B4:B$89,Q4:Q$89,Q3,0,1))),IF(M3&lt;0,IF(M3&lt;_xlfn.XLOOKUP(B3,B4:B$89,M4:M$89,0,0,1),(_xlfn.XLOOKUP(B3,B4:B$89,S4:S$89,0,0,1)*_xlfn.XLOOKUP(B3,B4:B$89,M4:M$89,0,0,1)-(F3-H3)*N3)/M3,_xlfn.XLOOKUP(B3,B4:B$89,S4:S$89,,0,1)),0))))</f>
        <v>0</v>
      </c>
      <c r="T3" s="59" cm="1">
        <f t="array" ref="T3">IF(_xlfn.XLOOKUP(B3,J$2:J3,J$2:J3,0,0,-1)=B3,0,IF(G3="",-H3*N3,IFERROR(IF(_xlfn.XLOOKUP(B3,B4:B$89,M4:M$89,,0,1)&lt;0,IF(M3&gt;_xlfn.XLOOKUP(B3,B4:B$89,M4:M$89,,0,1),L3*_xlfn.XLOOKUP(B3,B4:B$89,S4:S$89,,0,1)+(-F3-H3)*N3,0),IF(_xlfn.XLOOKUP(B3,B4:B$89,M4:M$89,,0,1)&gt;0,IF(M3&lt;_xlfn.XLOOKUP(B3,B4:B$89,M4:M$89,,0,1),(F3-H3)*N3-_xlfn.XLOOKUP(B3,B4:B$89,S4:S$89,,0,1)*-L3*MAX(1,R3/_xlfn.XLOOKUP(B3,B4:B$89,Q4:Q$89,R3,0,1)),0),0)),0)))</f>
        <v>946.06793818164761</v>
      </c>
      <c r="U3" s="56" cm="1">
        <f t="array" ref="U3">IF(AND(OR(J3="call",J3="put"),T3&lt;&gt;0),1,IF(T3=0,"-",IF(L3&lt;0, _xlfn.LET(_xlpm.v_cant, ABS(L3), _xlpm.v_fecha, I3, _xlpm.v_ticker, B3, _xlpm.rango_f, I4:I$1000, _xlpm.rango_t, L4:L$1000, _xlpm.filtro, B4:B$1000=_xlpm.v_ticker, _xlpm.c_fechas, _xlfn._xlws.FILTER(_xlpm.rango_f, _xlpm.filtro*(_xlpm.rango_t&gt;0), _xlpm.v_fecha), _xlpm.c_cants, _xlfn._xlws.FILTER(_xlpm.rango_t, _xlpm.filtro*(_xlpm.rango_t&gt;0), 0), _xlpm.v_acums_pasadas, ABS(SUMIFS(L4:L$1000, B4:B$1000, _xlpm.v_ticker, L4:L$1000,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" s="11"/>
      <c r="W3" s="11"/>
    </row>
    <row r="4" spans="1:23" x14ac:dyDescent="0.45">
      <c r="A4" s="3" t="s">
        <v>222</v>
      </c>
      <c r="B4" s="3" t="s">
        <v>284</v>
      </c>
      <c r="C4" s="3" t="s">
        <v>533</v>
      </c>
      <c r="D4" s="3">
        <v>1</v>
      </c>
      <c r="E4" s="3">
        <v>0</v>
      </c>
      <c r="F4" s="3">
        <v>0</v>
      </c>
      <c r="G4" s="3" t="s">
        <v>285</v>
      </c>
      <c r="H4" s="3">
        <v>0</v>
      </c>
      <c r="I4" s="14">
        <f>IFERROR(DATE(MID(G4, FIND(",", G4)+2, 4), MATCH(LEFT(G4, 3), {"Jan","Feb","Mar","Apr","May","Jun","Jul","Aug","Sep","Oct","Nov","Dec"}, 0), MID(G4, 5, FIND(",", G4)-5)) + VALUE(MID(G4, FIND(":", G4)-2, 8)),I5)</f>
        <v>46007.052303240744</v>
      </c>
      <c r="J4" s="60" t="str" cm="1">
        <f t="array" ref="J4">IF(OR(ISNUMBER(SEARCH("C",B4)),ISNUMBER(SEARCH("P",B4))),IF(ISNUMBER(SEARCH("C",B4)),"Call","Put"),IF(AND(E4&lt;&gt;0,OR(C4="option exercised",C4="option assigned"),A4="buy"),_xlfn._xlws.FILTER(B$2:B$100,(LEFT(B$2:B$100,LEN(B4))=B4)*(LEN(B$2:B$100)&gt;LEN(B4))*(K$2:K$100=E4)*(I$2:I$100=I4)*(C$2:C$100=C4)*((C4="option assigned")*(ISNUMBER(SEARCH("P",B$2:B$100)))+(C4="option exercised")*(ISNUMBER(SEARCH("C",B$2:B$100)))),""),""))</f>
        <v>Call</v>
      </c>
      <c r="K4" s="9">
        <f t="shared" si="1"/>
        <v>254</v>
      </c>
      <c r="L4" s="5">
        <f t="shared" si="0"/>
        <v>-1</v>
      </c>
      <c r="M4" s="5">
        <f>SUMIF(B4:B$88,B4,L4:L$88)</f>
        <v>0</v>
      </c>
      <c r="N4" s="9">
        <v>17.952500000000001</v>
      </c>
      <c r="O4" s="10" cm="1">
        <f t="array" ref="O4">IF(F4=0,_xlfn.XLOOKUP(B4,B5:B$89,O5:O$89,0,0,1),IF(_xlfn.XLOOKUP(B4,B5:B$89,M5:M$89,1,0,1)=0,IF(M4&gt;0,(F4+H4)*N4/M4,(F4-H4)*N4/-M4),IF(M4&gt;0,IF(M4&gt;_xlfn.XLOOKUP(B4,B5:B$89,M5:M$89,0,0,1),(_xlfn.XLOOKUP(B4,B5:B$89,O5:O$89,0,0,1)*_xlfn.XLOOKUP(B4,B5:B$89,M5:M$89,0,0,1)+(F4+H4)*N4+IF(_xlfn.XLOOKUP(J4,B5:B$89,J5:J$89,0,0,1)="put",-_xlfn.XLOOKUP(J4,B5:B$89,O5:O$89,0,0,1)*L4/100,_xlfn.XLOOKUP(J4,B5:B$89,O5:O$89,0,0,1)*L4/100))/M4,_xlfn.XLOOKUP(B4,B5:B$89,O5:O$89,,0,1)),IF(M4&lt;0,IF(M4&lt;_xlfn.XLOOKUP(B4,B5:B$89,M5:M$89,0,0,1),(_xlfn.XLOOKUP(B4,B5:B$89,O5:O$89,0,0,1)*_xlfn.XLOOKUP(B4,B5:B$89,M5:M$89,0,0,1)-(F4-H4)*N4)/M4,_xlfn.XLOOKUP(B4,B5:B$89,O4:O$88,,0,1)),0))))</f>
        <v>866.24531400000001</v>
      </c>
      <c r="P4" s="10" cm="1">
        <f t="array" ref="P4">IF(_xlfn.XLOOKUP(B4,J$2:J4,J$2:J4,0,0,-1)=B4,0,IF(G4="",-H4*N4,IFERROR(IF(_xlfn.XLOOKUP(B4,B5:B$89,M5:M$89,,0,1)&lt;0,IF(M4&gt;_xlfn.XLOOKUP(B4,B5:B$89,M5:M$89,,0,1),L4*_xlfn.XLOOKUP(B4,B5:B$89,O5:O$89,,0,1)+(-F4-H4)*N4,0),IF(_xlfn.XLOOKUP(B4,B5:B$89,M5:M$89,,0,1)&gt;0,IF(M4&lt;_xlfn.XLOOKUP(B4,B5:B$89,M5:M$89,,0,1),(F4-H4)*N4-_xlfn.XLOOKUP(B4,B5:B$89,O5:O$89,,0,1)*-L4,0),0)),0)))</f>
        <v>-866.24531400000001</v>
      </c>
      <c r="Q4" s="56">
        <v>143.042</v>
      </c>
      <c r="R4" s="56">
        <v>142.64500000000001</v>
      </c>
      <c r="S4" s="10" cm="1">
        <f t="array" ref="S4">IF(F4=0,_xlfn.XLOOKUP(B4,B5:B$89,S5:S$89,0,0,1),IF(_xlfn.XLOOKUP(B4,B5:B$89,M5:M$89,1,0,1)=0,IF(M4&gt;0,(F4+H4)*N4/M4,(F4-H4)*N4/-M4),IF(M4&gt;0,IF(M4&gt;_xlfn.XLOOKUP(B4,B5:B$89,M5:M$89,0,0,1),(_xlfn.XLOOKUP(B4,B5:B$89,S5:S$89,0,0,1)*MAX(1,Q4/_xlfn.XLOOKUP(B4,B5:B$89,Q5:Q$89,Q4,0,1))*_xlfn.XLOOKUP(B4,B5:B$89,M5:M$89,0,0,1)+(F4+H4)*N4+IF(_xlfn.XLOOKUP(J4,B5:B$89,J5:J$89,0,0,1)="put",-_xlfn.XLOOKUP(J4,B5:B$89,S5:S$89,0,0,1)*L4/100,_xlfn.XLOOKUP(J4,B5:B$89,S5:S$89,0,0,1)*L4/100))/M4,_xlfn.XLOOKUP(B4,B5:B$89,S5:S$89,,0,1)*MAX(1,Q4/_xlfn.XLOOKUP(B4,B5:B$89,Q5:Q$89,Q4,0,1))),IF(M4&lt;0,IF(M4&lt;_xlfn.XLOOKUP(B4,B5:B$89,M5:M$89,0,0,1),(_xlfn.XLOOKUP(B4,B5:B$89,S5:S$89,0,0,1)*_xlfn.XLOOKUP(B4,B5:B$89,M5:M$89,0,0,1)-(F4-H4)*N4)/M4,_xlfn.XLOOKUP(B4,B5:B$89,S5:S$89,,0,1)),0))))</f>
        <v>866.24531400000001</v>
      </c>
      <c r="T4" s="59" cm="1">
        <f t="array" ref="T4">IF(_xlfn.XLOOKUP(B4,J$2:J4,J$2:J4,0,0,-1)=B4,0,IF(G4="",-H4*N4,IFERROR(IF(_xlfn.XLOOKUP(B4,B5:B$89,M5:M$89,,0,1)&lt;0,IF(M4&gt;_xlfn.XLOOKUP(B4,B5:B$89,M5:M$89,,0,1),L4*_xlfn.XLOOKUP(B4,B5:B$89,S5:S$89,,0,1)+(-F4-H4)*N4,0),IF(_xlfn.XLOOKUP(B4,B5:B$89,M5:M$89,,0,1)&gt;0,IF(M4&lt;_xlfn.XLOOKUP(B4,B5:B$89,M5:M$89,,0,1),(F4-H4)*N4-_xlfn.XLOOKUP(B4,B5:B$89,S5:S$89,,0,1)*-L4*MAX(1,R4/_xlfn.XLOOKUP(B4,B5:B$89,Q5:Q$89,R4,0,1)),0),0)),0)))</f>
        <v>-866.24531400000001</v>
      </c>
      <c r="U4" s="56" cm="1">
        <f t="array" ref="U4">IF(AND(OR(J4="call",J4="put"),T4&lt;&gt;0),1,IF(T4=0,"-",IF(L4&lt;0, _xlfn.LET(_xlpm.v_cant, ABS(L4), _xlpm.v_fecha, I4, _xlpm.v_ticker, B4, _xlpm.rango_f, I5:I$1000, _xlpm.rango_t, L5:L$1000, _xlpm.filtro, B5:B$1000=_xlpm.v_ticker, _xlpm.c_fechas, _xlfn._xlws.FILTER(_xlpm.rango_f, _xlpm.filtro*(_xlpm.rango_t&gt;0), _xlpm.v_fecha), _xlpm.c_cants, _xlfn._xlws.FILTER(_xlpm.rango_t, _xlpm.filtro*(_xlpm.rango_t&gt;0), 0), _xlpm.v_acums_pasadas, ABS(SUMIFS(L5:L$1000, B5:B$1000, _xlpm.v_ticker, L5:L$1000,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4" s="11"/>
      <c r="W4" s="11"/>
    </row>
    <row r="5" spans="1:23" x14ac:dyDescent="0.45">
      <c r="A5" s="3" t="s">
        <v>224</v>
      </c>
      <c r="B5" s="3" t="s">
        <v>284</v>
      </c>
      <c r="D5" s="3">
        <v>1</v>
      </c>
      <c r="E5" s="3">
        <v>0.45</v>
      </c>
      <c r="F5" s="3">
        <v>45</v>
      </c>
      <c r="G5" s="3" t="s">
        <v>286</v>
      </c>
      <c r="H5" s="3">
        <v>2.98</v>
      </c>
      <c r="I5" s="14">
        <f>IFERROR(DATE(MID(G5, FIND(",", G5)+2, 4), MATCH(LEFT(G5, 3), {"Jan","Feb","Mar","Apr","May","Jun","Jul","Aug","Sep","Oct","Nov","Dec"}, 0), MID(G5, 5, FIND(",", G5)-5)) + VALUE(MID(G5, FIND(":", G5)-2, 8)),I6)</f>
        <v>46003.621307870373</v>
      </c>
      <c r="J5" s="60" t="str" cm="1">
        <f t="array" ref="J5">IF(OR(ISNUMBER(SEARCH("C",B5)),ISNUMBER(SEARCH("P",B5))),IF(ISNUMBER(SEARCH("C",B5)),"Call","Put"),IF(AND(E5&lt;&gt;0,OR(C5="option exercised",C5="option assigned"),A5="buy"),_xlfn._xlws.FILTER(B$2:B$100,(LEFT(B$2:B$100,LEN(B5))=B5)*(LEN(B$2:B$100)&gt;LEN(B5))*(K$2:K$100=E5)*(I$2:I$100=I5)*(C$2:C$100=C5)*((C5="option assigned")*(ISNUMBER(SEARCH("P",B$2:B$100)))+(C5="option exercised")*(ISNUMBER(SEARCH("C",B$2:B$100)))),""),""))</f>
        <v>Call</v>
      </c>
      <c r="K5" s="9">
        <f t="shared" si="1"/>
        <v>254</v>
      </c>
      <c r="L5" s="5">
        <f t="shared" si="0"/>
        <v>1</v>
      </c>
      <c r="M5" s="5">
        <f>SUMIF(B5:B$88,B5,L5:L$88)</f>
        <v>1</v>
      </c>
      <c r="N5" s="9">
        <v>18.054300000000001</v>
      </c>
      <c r="O5" s="10" cm="1">
        <f t="array" ref="O5">IF(F5=0,_xlfn.XLOOKUP(B5,B6:B$89,O6:O$89,0,0,1),IF(_xlfn.XLOOKUP(B5,B6:B$89,M6:M$89,1,0,1)=0,IF(M5&gt;0,(F5+H5)*N5/M5,(F5-H5)*N5/-M5),IF(M5&gt;0,IF(M5&gt;_xlfn.XLOOKUP(B5,B6:B$89,M6:M$89,0,0,1),(_xlfn.XLOOKUP(B5,B6:B$89,O6:O$89,0,0,1)*_xlfn.XLOOKUP(B5,B6:B$89,M6:M$89,0,0,1)+(F5+H5)*N5+IF(_xlfn.XLOOKUP(J5,B6:B$89,J6:J$89,0,0,1)="put",-_xlfn.XLOOKUP(J5,B6:B$89,O6:O$89,0,0,1)*L5/100,_xlfn.XLOOKUP(J5,B6:B$89,O6:O$89,0,0,1)*L5/100))/M5,_xlfn.XLOOKUP(B5,B6:B$89,O6:O$89,,0,1)),IF(M5&lt;0,IF(M5&lt;_xlfn.XLOOKUP(B5,B6:B$89,M6:M$89,0,0,1),(_xlfn.XLOOKUP(B5,B6:B$89,O6:O$89,0,0,1)*_xlfn.XLOOKUP(B5,B6:B$89,M6:M$89,0,0,1)-(F5-H5)*N5)/M5,_xlfn.XLOOKUP(B5,B6:B$89,O5:O$88,,0,1)),0))))</f>
        <v>866.24531400000001</v>
      </c>
      <c r="P5" s="10" cm="1">
        <f t="array" ref="P5">IF(_xlfn.XLOOKUP(B5,J$2:J5,J$2:J5,0,0,-1)=B5,0,IF(G5="",-H5*N5,IFERROR(IF(_xlfn.XLOOKUP(B5,B6:B$89,M6:M$89,,0,1)&lt;0,IF(M5&gt;_xlfn.XLOOKUP(B5,B6:B$89,M6:M$89,,0,1),L5*_xlfn.XLOOKUP(B5,B6:B$89,O6:O$89,,0,1)+(-F5-H5)*N5,0),IF(_xlfn.XLOOKUP(B5,B6:B$89,M6:M$89,,0,1)&gt;0,IF(M5&lt;_xlfn.XLOOKUP(B5,B6:B$89,M6:M$89,,0,1),(F5-H5)*N5-_xlfn.XLOOKUP(B5,B6:B$89,O6:O$89,,0,1)*-L5,0),0)),0)))</f>
        <v>0</v>
      </c>
      <c r="Q5" s="56">
        <v>143.042</v>
      </c>
      <c r="R5" s="56">
        <v>142.64500000000001</v>
      </c>
      <c r="S5" s="10" cm="1">
        <f t="array" ref="S5">IF(F5=0,_xlfn.XLOOKUP(B5,B6:B$89,S6:S$89,0,0,1),IF(_xlfn.XLOOKUP(B5,B6:B$89,M6:M$89,1,0,1)=0,IF(M5&gt;0,(F5+H5)*N5/M5,(F5-H5)*N5/-M5),IF(M5&gt;0,IF(M5&gt;_xlfn.XLOOKUP(B5,B6:B$89,M6:M$89,0,0,1),(_xlfn.XLOOKUP(B5,B6:B$89,S6:S$89,0,0,1)*MAX(1,Q5/_xlfn.XLOOKUP(B5,B6:B$89,Q6:Q$89,Q5,0,1))*_xlfn.XLOOKUP(B5,B6:B$89,M6:M$89,0,0,1)+(F5+H5)*N5+IF(_xlfn.XLOOKUP(J5,B6:B$89,J6:J$89,0,0,1)="put",-_xlfn.XLOOKUP(J5,B6:B$89,S6:S$89,0,0,1)*L5/100,_xlfn.XLOOKUP(J5,B6:B$89,S6:S$89,0,0,1)*L5/100))/M5,_xlfn.XLOOKUP(B5,B6:B$89,S6:S$89,,0,1)*MAX(1,Q5/_xlfn.XLOOKUP(B5,B6:B$89,Q6:Q$89,Q5,0,1))),IF(M5&lt;0,IF(M5&lt;_xlfn.XLOOKUP(B5,B6:B$89,M6:M$89,0,0,1),(_xlfn.XLOOKUP(B5,B6:B$89,S6:S$89,0,0,1)*_xlfn.XLOOKUP(B5,B6:B$89,M6:M$89,0,0,1)-(F5-H5)*N5)/M5,_xlfn.XLOOKUP(B5,B6:B$89,S6:S$89,,0,1)),0))))</f>
        <v>866.24531400000001</v>
      </c>
      <c r="T5" s="59" cm="1">
        <f t="array" ref="T5">IF(_xlfn.XLOOKUP(B5,J$2:J5,J$2:J5,0,0,-1)=B5,0,IF(G5="",-H5*N5,IFERROR(IF(_xlfn.XLOOKUP(B5,B6:B$89,M6:M$89,,0,1)&lt;0,IF(M5&gt;_xlfn.XLOOKUP(B5,B6:B$89,M6:M$89,,0,1),L5*_xlfn.XLOOKUP(B5,B6:B$89,S6:S$89,,0,1)+(-F5-H5)*N5,0),IF(_xlfn.XLOOKUP(B5,B6:B$89,M6:M$89,,0,1)&gt;0,IF(M5&lt;_xlfn.XLOOKUP(B5,B6:B$89,M6:M$89,,0,1),(F5-H5)*N5-_xlfn.XLOOKUP(B5,B6:B$89,S6:S$89,,0,1)*-L5*MAX(1,R5/_xlfn.XLOOKUP(B5,B6:B$89,Q6:Q$89,R5,0,1)),0),0)),0)))</f>
        <v>0</v>
      </c>
      <c r="U5" s="56" t="str" cm="1">
        <f t="array" ref="U5">IF(AND(OR(J5="call",J5="put"),T5&lt;&gt;0),1,IF(T5=0,"-",IF(L5&lt;0, _xlfn.LET(_xlpm.v_cant, ABS(L5), _xlpm.v_fecha, I5, _xlpm.v_ticker, B5, _xlpm.rango_f, I6:I$1000, _xlpm.rango_t, L6:L$1000, _xlpm.filtro, B6:B$1000=_xlpm.v_ticker, _xlpm.c_fechas, _xlfn._xlws.FILTER(_xlpm.rango_f, _xlpm.filtro*(_xlpm.rango_t&gt;0), _xlpm.v_fecha), _xlpm.c_cants, _xlfn._xlws.FILTER(_xlpm.rango_t, _xlpm.filtro*(_xlpm.rango_t&gt;0), 0), _xlpm.v_acums_pasadas, ABS(SUMIFS(L6:L$1000, B6:B$1000, _xlpm.v_ticker, L6:L$1000,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5" s="11"/>
      <c r="W5" s="11"/>
    </row>
    <row r="6" spans="1:23" x14ac:dyDescent="0.45">
      <c r="A6" s="3" t="s">
        <v>224</v>
      </c>
      <c r="B6" s="3" t="s">
        <v>287</v>
      </c>
      <c r="H6" s="3">
        <v>5.97</v>
      </c>
      <c r="I6" s="14">
        <f>IFERROR(DATE(MID(G6, FIND(",", G6)+2, 4), MATCH(LEFT(G6, 3), {"Jan","Feb","Mar","Apr","May","Jun","Jul","Aug","Sep","Oct","Nov","Dec"}, 0), MID(G6, 5, FIND(",", G6)-5)) + VALUE(MID(G6, FIND(":", G6)-2, 8)),I7)</f>
        <v>45996.666284722225</v>
      </c>
      <c r="J6" s="60" t="str" cm="1">
        <f t="array" ref="J6">IF(OR(ISNUMBER(SEARCH("C",B6)),ISNUMBER(SEARCH("P",B6))),IF(ISNUMBER(SEARCH("C",B6)),"Call","Put"),IF(AND(E6&lt;&gt;0,OR(C6="option exercised",C6="option assigned"),A6="buy"),_xlfn._xlws.FILTER(B$2:B$100,(LEFT(B$2:B$100,LEN(B6))=B6)*(LEN(B$2:B$100)&gt;LEN(B6))*(K$2:K$100=E6)*(I$2:I$100=I6)*(C$2:C$100=C6)*((C6="option assigned")*(ISNUMBER(SEARCH("P",B$2:B$100)))+(C6="option exercised")*(ISNUMBER(SEARCH("C",B$2:B$100)))),""),""))</f>
        <v>Call</v>
      </c>
      <c r="K6" s="9">
        <f t="shared" si="1"/>
        <v>0</v>
      </c>
      <c r="L6" s="5">
        <f t="shared" si="0"/>
        <v>0</v>
      </c>
      <c r="M6" s="5">
        <f>SUMIF(B6:B$88,B6,L6:L$88)</f>
        <v>0</v>
      </c>
      <c r="N6" s="9">
        <v>18.186</v>
      </c>
      <c r="O6" s="10" cm="1">
        <f t="array" ref="O6">IF(F6=0,_xlfn.XLOOKUP(B6,B7:B$89,O7:O$89,0,0,1),IF(_xlfn.XLOOKUP(B6,B7:B$89,M7:M$89,1,0,1)=0,IF(M6&gt;0,(F6+H6)*N6/M6,(F6-H6)*N6/-M6),IF(M6&gt;0,IF(M6&gt;_xlfn.XLOOKUP(B6,B7:B$89,M7:M$89,0,0,1),(_xlfn.XLOOKUP(B6,B7:B$89,O7:O$89,0,0,1)*_xlfn.XLOOKUP(B6,B7:B$89,M7:M$89,0,0,1)+(F6+H6)*N6+IF(_xlfn.XLOOKUP(J6,B7:B$89,J7:J$89,0,0,1)="put",-_xlfn.XLOOKUP(J6,B7:B$89,O7:O$89,0,0,1)*L6/100,_xlfn.XLOOKUP(J6,B7:B$89,O7:O$89,0,0,1)*L6/100))/M6,_xlfn.XLOOKUP(B6,B7:B$89,O7:O$89,,0,1)),IF(M6&lt;0,IF(M6&lt;_xlfn.XLOOKUP(B6,B7:B$89,M7:M$89,0,0,1),(_xlfn.XLOOKUP(B6,B7:B$89,O7:O$89,0,0,1)*_xlfn.XLOOKUP(B6,B7:B$89,M7:M$89,0,0,1)-(F6-H6)*N6)/M6,_xlfn.XLOOKUP(B6,B7:B$89,O6:O$88,,0,1)),0))))</f>
        <v>0</v>
      </c>
      <c r="P6" s="10" cm="1">
        <f t="array" ref="P6">IF(_xlfn.XLOOKUP(B6,J$2:J6,J$2:J6,0,0,-1)=B6,0,IF(G6="",-H6*N6,IFERROR(IF(_xlfn.XLOOKUP(B6,B7:B$89,M7:M$89,,0,1)&lt;0,IF(M6&gt;_xlfn.XLOOKUP(B6,B7:B$89,M7:M$89,,0,1),L6*_xlfn.XLOOKUP(B6,B7:B$89,O7:O$89,,0,1)+(-F6-H6)*N6,0),IF(_xlfn.XLOOKUP(B6,B7:B$89,M7:M$89,,0,1)&gt;0,IF(M6&lt;_xlfn.XLOOKUP(B6,B7:B$89,M7:M$89,,0,1),(F6-H6)*N6-_xlfn.XLOOKUP(B6,B7:B$89,O7:O$89,,0,1)*-L6,0),0)),0)))</f>
        <v>-108.57042</v>
      </c>
      <c r="Q6" s="56">
        <v>143.042</v>
      </c>
      <c r="R6" s="56">
        <v>142.64500000000001</v>
      </c>
      <c r="S6" s="10" cm="1">
        <f t="array" ref="S6">IF(F6=0,_xlfn.XLOOKUP(B6,B7:B$89,S7:S$89,0,0,1),IF(_xlfn.XLOOKUP(B6,B7:B$89,M7:M$89,1,0,1)=0,IF(M6&gt;0,(F6+H6)*N6/M6,(F6-H6)*N6/-M6),IF(M6&gt;0,IF(M6&gt;_xlfn.XLOOKUP(B6,B7:B$89,M7:M$89,0,0,1),(_xlfn.XLOOKUP(B6,B7:B$89,S7:S$89,0,0,1)*MAX(1,Q6/_xlfn.XLOOKUP(B6,B7:B$89,Q7:Q$89,Q6,0,1))*_xlfn.XLOOKUP(B6,B7:B$89,M7:M$89,0,0,1)+(F6+H6)*N6+IF(_xlfn.XLOOKUP(J6,B7:B$89,J7:J$89,0,0,1)="put",-_xlfn.XLOOKUP(J6,B7:B$89,S7:S$89,0,0,1)*L6/100,_xlfn.XLOOKUP(J6,B7:B$89,S7:S$89,0,0,1)*L6/100))/M6,_xlfn.XLOOKUP(B6,B7:B$89,S7:S$89,,0,1)*MAX(1,Q6/_xlfn.XLOOKUP(B6,B7:B$89,Q7:Q$89,Q6,0,1))),IF(M6&lt;0,IF(M6&lt;_xlfn.XLOOKUP(B6,B7:B$89,M7:M$89,0,0,1),(_xlfn.XLOOKUP(B6,B7:B$89,S7:S$89,0,0,1)*_xlfn.XLOOKUP(B6,B7:B$89,M7:M$89,0,0,1)-(F6-H6)*N6)/M6,_xlfn.XLOOKUP(B6,B7:B$89,S7:S$89,,0,1)),0))))</f>
        <v>0</v>
      </c>
      <c r="T6" s="59" cm="1">
        <f t="array" ref="T6">IF(_xlfn.XLOOKUP(B6,J$2:J6,J$2:J6,0,0,-1)=B6,0,IF(G6="",-H6*N6,IFERROR(IF(_xlfn.XLOOKUP(B6,B7:B$89,M7:M$89,,0,1)&lt;0,IF(M6&gt;_xlfn.XLOOKUP(B6,B7:B$89,M7:M$89,,0,1),L6*_xlfn.XLOOKUP(B6,B7:B$89,S7:S$89,,0,1)+(-F6-H6)*N6,0),IF(_xlfn.XLOOKUP(B6,B7:B$89,M7:M$89,,0,1)&gt;0,IF(M6&lt;_xlfn.XLOOKUP(B6,B7:B$89,M7:M$89,,0,1),(F6-H6)*N6-_xlfn.XLOOKUP(B6,B7:B$89,S7:S$89,,0,1)*-L6*MAX(1,R6/_xlfn.XLOOKUP(B6,B7:B$89,Q7:Q$89,R6,0,1)),0),0)),0)))</f>
        <v>-108.57042</v>
      </c>
      <c r="U6" s="56" cm="1">
        <f t="array" ref="U6">IF(AND(OR(J6="call",J6="put"),T6&lt;&gt;0),1,IF(T6=0,"-",IF(L6&lt;0, _xlfn.LET(_xlpm.v_cant, ABS(L6), _xlpm.v_fecha, I6, _xlpm.v_ticker, B6, _xlpm.rango_f, I7:I$1000, _xlpm.rango_t, L7:L$1000, _xlpm.filtro, B7:B$1000=_xlpm.v_ticker, _xlpm.c_fechas, _xlfn._xlws.FILTER(_xlpm.rango_f, _xlpm.filtro*(_xlpm.rango_t&gt;0), _xlpm.v_fecha), _xlpm.c_cants, _xlfn._xlws.FILTER(_xlpm.rango_t, _xlpm.filtro*(_xlpm.rango_t&gt;0), 0), _xlpm.v_acums_pasadas, ABS(SUMIFS(L7:L$1000, B7:B$1000, _xlpm.v_ticker, L7:L$1000,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" s="11"/>
      <c r="W6" s="11"/>
    </row>
    <row r="7" spans="1:23" x14ac:dyDescent="0.45">
      <c r="A7" s="3" t="s">
        <v>224</v>
      </c>
      <c r="B7" s="3" t="s">
        <v>288</v>
      </c>
      <c r="D7" s="3">
        <v>1</v>
      </c>
      <c r="E7" s="3">
        <v>13.03</v>
      </c>
      <c r="F7" s="15">
        <v>1303</v>
      </c>
      <c r="G7" s="3" t="s">
        <v>289</v>
      </c>
      <c r="I7" s="14">
        <f>IFERROR(DATE(MID(G7, FIND(",", G7)+2, 4), MATCH(LEFT(G7, 3), {"Jan","Feb","Mar","Apr","May","Jun","Jul","Aug","Sep","Oct","Nov","Dec"}, 0), MID(G7, 5, FIND(",", G7)-5)) + VALUE(MID(G7, FIND(":", G7)-2, 8)),I8)</f>
        <v>45996.666284722225</v>
      </c>
      <c r="J7" s="60" t="str" cm="1">
        <f t="array" ref="J7">IF(OR(ISNUMBER(SEARCH("C",B7)),ISNUMBER(SEARCH("P",B7))),IF(ISNUMBER(SEARCH("C",B7)),"Call","Put"),IF(AND(E7&lt;&gt;0,OR(C7="option exercised",C7="option assigned"),A7="buy"),_xlfn._xlws.FILTER(B$2:B$100,(LEFT(B$2:B$100,LEN(B7))=B7)*(LEN(B$2:B$100)&gt;LEN(B7))*(K$2:K$100=E7)*(I$2:I$100=I7)*(C$2:C$100=C7)*((C7="option assigned")*(ISNUMBER(SEARCH("P",B$2:B$100)))+(C7="option exercised")*(ISNUMBER(SEARCH("C",B$2:B$100)))),""),""))</f>
        <v>Call</v>
      </c>
      <c r="K7" s="9">
        <f t="shared" si="1"/>
        <v>242</v>
      </c>
      <c r="L7" s="5">
        <f t="shared" si="0"/>
        <v>1</v>
      </c>
      <c r="M7" s="5">
        <f>SUMIF(B7:B$88,B7,L7:L$88)</f>
        <v>0</v>
      </c>
      <c r="N7" s="9">
        <v>18.186</v>
      </c>
      <c r="O7" s="10" cm="1">
        <f t="array" ref="O7">IF(F7=0,_xlfn.XLOOKUP(B7,B8:B$89,O8:O$89,0,0,1),IF(_xlfn.XLOOKUP(B7,B8:B$89,M8:M$89,1,0,1)=0,IF(M7&gt;0,(F7+H7)*N7/M7,(F7-H7)*N7/-M7),IF(M7&gt;0,IF(M7&gt;_xlfn.XLOOKUP(B7,B8:B$89,M8:M$89,0,0,1),(_xlfn.XLOOKUP(B7,B8:B$89,O8:O$89,0,0,1)*_xlfn.XLOOKUP(B7,B8:B$89,M8:M$89,0,0,1)+(F7+H7)*N7+IF(_xlfn.XLOOKUP(J7,B8:B$89,J8:J$89,0,0,1)="put",-_xlfn.XLOOKUP(J7,B8:B$89,O8:O$89,0,0,1)*L7/100,_xlfn.XLOOKUP(J7,B8:B$89,O8:O$89,0,0,1)*L7/100))/M7,_xlfn.XLOOKUP(B7,B8:B$89,O8:O$89,,0,1)),IF(M7&lt;0,IF(M7&lt;_xlfn.XLOOKUP(B7,B8:B$89,M8:M$89,0,0,1),(_xlfn.XLOOKUP(B7,B8:B$89,O8:O$89,0,0,1)*_xlfn.XLOOKUP(B7,B8:B$89,M8:M$89,0,0,1)-(F7-H7)*N7)/M7,_xlfn.XLOOKUP(B7,B8:B$89,O7:O$88,,0,1)),0))))</f>
        <v>0</v>
      </c>
      <c r="P7" s="10" cm="1">
        <f t="array" ref="P7">IF(_xlfn.XLOOKUP(B7,J$2:J7,J$2:J7,0,0,-1)=B7,0,IF(G7="",-H7*N7,IFERROR(IF(_xlfn.XLOOKUP(B7,B8:B$89,M8:M$89,,0,1)&lt;0,IF(M7&gt;_xlfn.XLOOKUP(B7,B8:B$89,M8:M$89,,0,1),L7*_xlfn.XLOOKUP(B7,B8:B$89,O8:O$89,,0,1)+(-F7-H7)*N7,0),IF(_xlfn.XLOOKUP(B7,B8:B$89,M8:M$89,,0,1)&gt;0,IF(M7&lt;_xlfn.XLOOKUP(B7,B8:B$89,M8:M$89,,0,1),(F7-H7)*N7-_xlfn.XLOOKUP(B7,B8:B$89,O8:O$89,,0,1)*-L7,0),0)),0)))</f>
        <v>-6534.4330000000009</v>
      </c>
      <c r="Q7" s="56">
        <v>143.042</v>
      </c>
      <c r="R7" s="56">
        <v>142.64500000000001</v>
      </c>
      <c r="S7" s="10" cm="1">
        <f t="array" ref="S7">IF(F7=0,_xlfn.XLOOKUP(B7,B8:B$89,S8:S$89,0,0,1),IF(_xlfn.XLOOKUP(B7,B8:B$89,M8:M$89,1,0,1)=0,IF(M7&gt;0,(F7+H7)*N7/M7,(F7-H7)*N7/-M7),IF(M7&gt;0,IF(M7&gt;_xlfn.XLOOKUP(B7,B8:B$89,M8:M$89,0,0,1),(_xlfn.XLOOKUP(B7,B8:B$89,S8:S$89,0,0,1)*MAX(1,Q7/_xlfn.XLOOKUP(B7,B8:B$89,Q8:Q$89,Q7,0,1))*_xlfn.XLOOKUP(B7,B8:B$89,M8:M$89,0,0,1)+(F7+H7)*N7+IF(_xlfn.XLOOKUP(J7,B8:B$89,J8:J$89,0,0,1)="put",-_xlfn.XLOOKUP(J7,B8:B$89,S8:S$89,0,0,1)*L7/100,_xlfn.XLOOKUP(J7,B8:B$89,S8:S$89,0,0,1)*L7/100))/M7,_xlfn.XLOOKUP(B7,B8:B$89,S8:S$89,,0,1)*MAX(1,Q7/_xlfn.XLOOKUP(B7,B8:B$89,Q8:Q$89,Q7,0,1))),IF(M7&lt;0,IF(M7&lt;_xlfn.XLOOKUP(B7,B8:B$89,M8:M$89,0,0,1),(_xlfn.XLOOKUP(B7,B8:B$89,S8:S$89,0,0,1)*_xlfn.XLOOKUP(B7,B8:B$89,M8:M$89,0,0,1)-(F7-H7)*N7)/M7,_xlfn.XLOOKUP(B7,B8:B$89,S8:S$89,,0,1)),0))))</f>
        <v>0</v>
      </c>
      <c r="T7" s="59" cm="1">
        <f t="array" ref="T7">IF(_xlfn.XLOOKUP(B7,J$2:J7,J$2:J7,0,0,-1)=B7,0,IF(G7="",-H7*N7,IFERROR(IF(_xlfn.XLOOKUP(B7,B8:B$89,M8:M$89,,0,1)&lt;0,IF(M7&gt;_xlfn.XLOOKUP(B7,B8:B$89,M8:M$89,,0,1),L7*_xlfn.XLOOKUP(B7,B8:B$89,S8:S$89,,0,1)+(-F7-H7)*N7,0),IF(_xlfn.XLOOKUP(B7,B8:B$89,M8:M$89,,0,1)&gt;0,IF(M7&lt;_xlfn.XLOOKUP(B7,B8:B$89,M8:M$89,,0,1),(F7-H7)*N7-_xlfn.XLOOKUP(B7,B8:B$89,S8:S$89,,0,1)*-L7*MAX(1,R7/_xlfn.XLOOKUP(B7,B8:B$89,Q8:Q$89,R7,0,1)),0),0)),0)))</f>
        <v>-6534.4330000000009</v>
      </c>
      <c r="U7" s="56" cm="1">
        <f t="array" ref="U7">IF(AND(OR(J7="call",J7="put"),T7&lt;&gt;0),1,IF(T7=0,"-",IF(L7&lt;0, _xlfn.LET(_xlpm.v_cant, ABS(L7), _xlpm.v_fecha, I7, _xlpm.v_ticker, B7, _xlpm.rango_f, I8:I$1000, _xlpm.rango_t, L8:L$1000, _xlpm.filtro, B8:B$1000=_xlpm.v_ticker, _xlpm.c_fechas, _xlfn._xlws.FILTER(_xlpm.rango_f, _xlpm.filtro*(_xlpm.rango_t&gt;0), _xlpm.v_fecha), _xlpm.c_cants, _xlfn._xlws.FILTER(_xlpm.rango_t, _xlpm.filtro*(_xlpm.rango_t&gt;0), 0), _xlpm.v_acums_pasadas, ABS(SUMIFS(L8:L$1000, B8:B$1000, _xlpm.v_ticker, L8:L$1000,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7" s="11"/>
      <c r="W7" s="11"/>
    </row>
    <row r="8" spans="1:23" x14ac:dyDescent="0.45">
      <c r="A8" s="3" t="s">
        <v>222</v>
      </c>
      <c r="B8" s="3" t="s">
        <v>290</v>
      </c>
      <c r="D8" s="3">
        <v>1</v>
      </c>
      <c r="E8" s="3">
        <v>9.5</v>
      </c>
      <c r="F8" s="3">
        <v>950</v>
      </c>
      <c r="G8" s="3" t="s">
        <v>289</v>
      </c>
      <c r="I8" s="14">
        <f>IFERROR(DATE(MID(G8, FIND(",", G8)+2, 4), MATCH(LEFT(G8, 3), {"Jan","Feb","Mar","Apr","May","Jun","Jul","Aug","Sep","Oct","Nov","Dec"}, 0), MID(G8, 5, FIND(",", G8)-5)) + VALUE(MID(G8, FIND(":", G8)-2, 8)),I9)</f>
        <v>45996.666284722225</v>
      </c>
      <c r="J8" s="60" t="str" cm="1">
        <f t="array" ref="J8">IF(OR(ISNUMBER(SEARCH("C",B8)),ISNUMBER(SEARCH("P",B8))),IF(ISNUMBER(SEARCH("C",B8)),"Call","Put"),IF(AND(E8&lt;&gt;0,OR(C8="option exercised",C8="option assigned"),A8="buy"),_xlfn._xlws.FILTER(B$2:B$100,(LEFT(B$2:B$100,LEN(B8))=B8)*(LEN(B$2:B$100)&gt;LEN(B8))*(K$2:K$100=E8)*(I$2:I$100=I8)*(C$2:C$100=C8)*((C8="option assigned")*(ISNUMBER(SEARCH("P",B$2:B$100)))+(C8="option exercised")*(ISNUMBER(SEARCH("C",B$2:B$100)))),""),""))</f>
        <v>Call</v>
      </c>
      <c r="K8" s="9">
        <f t="shared" si="1"/>
        <v>246</v>
      </c>
      <c r="L8" s="5">
        <f t="shared" si="0"/>
        <v>-1</v>
      </c>
      <c r="M8" s="5">
        <f>SUMIF(B8:B$88,B8,L8:L$88)</f>
        <v>0</v>
      </c>
      <c r="N8" s="9">
        <v>18.186</v>
      </c>
      <c r="O8" s="10" cm="1">
        <f t="array" ref="O8">IF(F8=0,_xlfn.XLOOKUP(B8,B9:B$89,O9:O$89,0,0,1),IF(_xlfn.XLOOKUP(B8,B9:B$89,M9:M$89,1,0,1)=0,IF(M8&gt;0,(F8+H8)*N8/M8,(F8-H8)*N8/-M8),IF(M8&gt;0,IF(M8&gt;_xlfn.XLOOKUP(B8,B9:B$89,M9:M$89,0,0,1),(_xlfn.XLOOKUP(B8,B9:B$89,O9:O$89,0,0,1)*_xlfn.XLOOKUP(B8,B9:B$89,M9:M$89,0,0,1)+(F8+H8)*N8+IF(_xlfn.XLOOKUP(J8,B9:B$89,J9:J$89,0,0,1)="put",-_xlfn.XLOOKUP(J8,B9:B$89,O9:O$89,0,0,1)*L8/100,_xlfn.XLOOKUP(J8,B9:B$89,O9:O$89,0,0,1)*L8/100))/M8,_xlfn.XLOOKUP(B8,B9:B$89,O9:O$89,,0,1)),IF(M8&lt;0,IF(M8&lt;_xlfn.XLOOKUP(B8,B9:B$89,M9:M$89,0,0,1),(_xlfn.XLOOKUP(B8,B9:B$89,O9:O$89,0,0,1)*_xlfn.XLOOKUP(B8,B9:B$89,M9:M$89,0,0,1)-(F8-H8)*N8)/M8,_xlfn.XLOOKUP(B8,B9:B$89,O8:O$88,,0,1)),0))))</f>
        <v>0</v>
      </c>
      <c r="P8" s="10" cm="1">
        <f t="array" ref="P8">IF(_xlfn.XLOOKUP(B8,J$2:J8,J$2:J8,0,0,-1)=B8,0,IF(G8="",-H8*N8,IFERROR(IF(_xlfn.XLOOKUP(B8,B9:B$89,M9:M$89,,0,1)&lt;0,IF(M8&gt;_xlfn.XLOOKUP(B8,B9:B$89,M9:M$89,,0,1),L8*_xlfn.XLOOKUP(B8,B9:B$89,O9:O$89,,0,1)+(-F8-H8)*N8,0),IF(_xlfn.XLOOKUP(B8,B9:B$89,M9:M$89,,0,1)&gt;0,IF(M8&lt;_xlfn.XLOOKUP(B8,B9:B$89,M9:M$89,,0,1),(F8-H8)*N8-_xlfn.XLOOKUP(B8,B9:B$89,O9:O$89,,0,1)*-L8,0),0)),0)))</f>
        <v>4703.5249999999996</v>
      </c>
      <c r="Q8" s="56">
        <v>143.042</v>
      </c>
      <c r="R8" s="56">
        <v>142.64500000000001</v>
      </c>
      <c r="S8" s="10" cm="1">
        <f t="array" ref="S8">IF(F8=0,_xlfn.XLOOKUP(B8,B9:B$89,S9:S$89,0,0,1),IF(_xlfn.XLOOKUP(B8,B9:B$89,M9:M$89,1,0,1)=0,IF(M8&gt;0,(F8+H8)*N8/M8,(F8-H8)*N8/-M8),IF(M8&gt;0,IF(M8&gt;_xlfn.XLOOKUP(B8,B9:B$89,M9:M$89,0,0,1),(_xlfn.XLOOKUP(B8,B9:B$89,S9:S$89,0,0,1)*MAX(1,Q8/_xlfn.XLOOKUP(B8,B9:B$89,Q9:Q$89,Q8,0,1))*_xlfn.XLOOKUP(B8,B9:B$89,M9:M$89,0,0,1)+(F8+H8)*N8+IF(_xlfn.XLOOKUP(J8,B9:B$89,J9:J$89,0,0,1)="put",-_xlfn.XLOOKUP(J8,B9:B$89,S9:S$89,0,0,1)*L8/100,_xlfn.XLOOKUP(J8,B9:B$89,S9:S$89,0,0,1)*L8/100))/M8,_xlfn.XLOOKUP(B8,B9:B$89,S9:S$89,,0,1)*MAX(1,Q8/_xlfn.XLOOKUP(B8,B9:B$89,Q9:Q$89,Q8,0,1))),IF(M8&lt;0,IF(M8&lt;_xlfn.XLOOKUP(B8,B9:B$89,M9:M$89,0,0,1),(_xlfn.XLOOKUP(B8,B9:B$89,S9:S$89,0,0,1)*_xlfn.XLOOKUP(B8,B9:B$89,M9:M$89,0,0,1)-(F8-H8)*N8)/M8,_xlfn.XLOOKUP(B8,B9:B$89,S9:S$89,,0,1)),0))))</f>
        <v>0</v>
      </c>
      <c r="T8" s="59" cm="1">
        <f t="array" ref="T8">IF(_xlfn.XLOOKUP(B8,J$2:J8,J$2:J8,0,0,-1)=B8,0,IF(G8="",-H8*N8,IFERROR(IF(_xlfn.XLOOKUP(B8,B9:B$89,M9:M$89,,0,1)&lt;0,IF(M8&gt;_xlfn.XLOOKUP(B8,B9:B$89,M9:M$89,,0,1),L8*_xlfn.XLOOKUP(B8,B9:B$89,S9:S$89,,0,1)+(-F8-H8)*N8,0),IF(_xlfn.XLOOKUP(B8,B9:B$89,M9:M$89,,0,1)&gt;0,IF(M8&lt;_xlfn.XLOOKUP(B8,B9:B$89,M9:M$89,,0,1),(F8-H8)*N8-_xlfn.XLOOKUP(B8,B9:B$89,S9:S$89,,0,1)*-L8*MAX(1,R8/_xlfn.XLOOKUP(B8,B9:B$89,Q9:Q$89,R8,0,1)),0),0)),0)))</f>
        <v>4703.5249999999996</v>
      </c>
      <c r="U8" s="56" cm="1">
        <f t="array" ref="U8">IF(AND(OR(J8="call",J8="put"),T8&lt;&gt;0),1,IF(T8=0,"-",IF(L8&lt;0, _xlfn.LET(_xlpm.v_cant, ABS(L8), _xlpm.v_fecha, I8, _xlpm.v_ticker, B8, _xlpm.rango_f, I9:I$1000, _xlpm.rango_t, L9:L$1000, _xlpm.filtro, B9:B$1000=_xlpm.v_ticker, _xlpm.c_fechas, _xlfn._xlws.FILTER(_xlpm.rango_f, _xlpm.filtro*(_xlpm.rango_t&gt;0), _xlpm.v_fecha), _xlpm.c_cants, _xlfn._xlws.FILTER(_xlpm.rango_t, _xlpm.filtro*(_xlpm.rango_t&gt;0), 0), _xlpm.v_acums_pasadas, ABS(SUMIFS(L9:L$1000, B9:B$1000, _xlpm.v_ticker, L9:L$1000,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8" s="11"/>
      <c r="W8" s="11"/>
    </row>
    <row r="9" spans="1:23" x14ac:dyDescent="0.45">
      <c r="A9" s="3" t="s">
        <v>222</v>
      </c>
      <c r="B9" s="3" t="s">
        <v>291</v>
      </c>
      <c r="C9" s="3" t="s">
        <v>533</v>
      </c>
      <c r="D9" s="3">
        <v>1</v>
      </c>
      <c r="E9" s="3">
        <v>0</v>
      </c>
      <c r="F9" s="3">
        <v>0</v>
      </c>
      <c r="G9" s="3" t="s">
        <v>292</v>
      </c>
      <c r="H9" s="3">
        <v>0</v>
      </c>
      <c r="I9" s="14">
        <f>IFERROR(DATE(MID(G9, FIND(",", G9)+2, 4), MATCH(LEFT(G9, 3), {"Jan","Feb","Mar","Apr","May","Jun","Jul","Aug","Sep","Oct","Nov","Dec"}, 0), MID(G9, 5, FIND(",", G9)-5)) + VALUE(MID(G9, FIND(":", G9)-2, 8)),I10)</f>
        <v>45983.022094907406</v>
      </c>
      <c r="J9" s="60" t="str" cm="1">
        <f t="array" ref="J9">IF(OR(ISNUMBER(SEARCH("C",B9)),ISNUMBER(SEARCH("P",B9))),IF(ISNUMBER(SEARCH("C",B9)),"Call","Put"),IF(AND(E9&lt;&gt;0,OR(C9="option exercised",C9="option assigned"),A9="buy"),_xlfn._xlws.FILTER(B$2:B$100,(LEFT(B$2:B$100,LEN(B9))=B9)*(LEN(B$2:B$100)&gt;LEN(B9))*(K$2:K$100=E9)*(I$2:I$100=I9)*(C$2:C$100=C9)*((C9="option assigned")*(ISNUMBER(SEARCH("P",B$2:B$100)))+(C9="option exercised")*(ISNUMBER(SEARCH("C",B$2:B$100)))),""),""))</f>
        <v>Put</v>
      </c>
      <c r="K9" s="9">
        <f t="shared" si="1"/>
        <v>35</v>
      </c>
      <c r="L9" s="5">
        <f t="shared" si="0"/>
        <v>-1</v>
      </c>
      <c r="M9" s="5">
        <f>SUMIF(B9:B$88,B9,L9:L$88)</f>
        <v>0</v>
      </c>
      <c r="N9" s="9">
        <v>18.496500000000001</v>
      </c>
      <c r="O9" s="10" cm="1">
        <f t="array" ref="O9">IF(F9=0,_xlfn.XLOOKUP(B9,B10:B$89,O10:O$89,0,0,1),IF(_xlfn.XLOOKUP(B9,B10:B$89,M10:M$89,1,0,1)=0,IF(M9&gt;0,(F9+H9)*N9/M9,(F9-H9)*N9/-M9),IF(M9&gt;0,IF(M9&gt;_xlfn.XLOOKUP(B9,B10:B$89,M10:M$89,0,0,1),(_xlfn.XLOOKUP(B9,B10:B$89,O10:O$89,0,0,1)*_xlfn.XLOOKUP(B9,B10:B$89,M10:M$89,0,0,1)+(F9+H9)*N9+IF(_xlfn.XLOOKUP(J9,B10:B$89,J10:J$89,0,0,1)="put",-_xlfn.XLOOKUP(J9,B10:B$89,O10:O$89,0,0,1)*L9/100,_xlfn.XLOOKUP(J9,B10:B$89,O10:O$89,0,0,1)*L9/100))/M9,_xlfn.XLOOKUP(B9,B10:B$89,O10:O$89,,0,1)),IF(M9&lt;0,IF(M9&lt;_xlfn.XLOOKUP(B9,B10:B$89,M10:M$89,0,0,1),(_xlfn.XLOOKUP(B9,B10:B$89,O10:O$89,0,0,1)*_xlfn.XLOOKUP(B9,B10:B$89,M10:M$89,0,0,1)-(F9-H9)*N9)/M9,_xlfn.XLOOKUP(B9,B10:B$89,O9:O$88,,0,1)),0))))</f>
        <v>1392.5632000000001</v>
      </c>
      <c r="P9" s="10" cm="1">
        <f t="array" ref="P9">IF(_xlfn.XLOOKUP(B9,J$2:J9,J$2:J9,0,0,-1)=B9,0,IF(G9="",-H9*N9,IFERROR(IF(_xlfn.XLOOKUP(B9,B10:B$89,M10:M$89,,0,1)&lt;0,IF(M9&gt;_xlfn.XLOOKUP(B9,B10:B$89,M10:M$89,,0,1),L9*_xlfn.XLOOKUP(B9,B10:B$89,O10:O$89,,0,1)+(-F9-H9)*N9,0),IF(_xlfn.XLOOKUP(B9,B10:B$89,M10:M$89,,0,1)&gt;0,IF(M9&lt;_xlfn.XLOOKUP(B9,B10:B$89,M10:M$89,,0,1),(F9-H9)*N9-_xlfn.XLOOKUP(B9,B10:B$89,O10:O$89,,0,1)*-L9,0),0)),0)))</f>
        <v>-1392.5632000000001</v>
      </c>
      <c r="Q9" s="56">
        <v>142.64500000000001</v>
      </c>
      <c r="R9" s="56">
        <v>141.708</v>
      </c>
      <c r="S9" s="10" cm="1">
        <f t="array" ref="S9">IF(F9=0,_xlfn.XLOOKUP(B9,B10:B$89,S10:S$89,0,0,1),IF(_xlfn.XLOOKUP(B9,B10:B$89,M10:M$89,1,0,1)=0,IF(M9&gt;0,(F9+H9)*N9/M9,(F9-H9)*N9/-M9),IF(M9&gt;0,IF(M9&gt;_xlfn.XLOOKUP(B9,B10:B$89,M10:M$89,0,0,1),(_xlfn.XLOOKUP(B9,B10:B$89,S10:S$89,0,0,1)*MAX(1,Q9/_xlfn.XLOOKUP(B9,B10:B$89,Q10:Q$89,Q9,0,1))*_xlfn.XLOOKUP(B9,B10:B$89,M10:M$89,0,0,1)+(F9+H9)*N9+IF(_xlfn.XLOOKUP(J9,B10:B$89,J10:J$89,0,0,1)="put",-_xlfn.XLOOKUP(J9,B10:B$89,S10:S$89,0,0,1)*L9/100,_xlfn.XLOOKUP(J9,B10:B$89,S10:S$89,0,0,1)*L9/100))/M9,_xlfn.XLOOKUP(B9,B10:B$89,S10:S$89,,0,1)*MAX(1,Q9/_xlfn.XLOOKUP(B9,B10:B$89,Q10:Q$89,Q9,0,1))),IF(M9&lt;0,IF(M9&lt;_xlfn.XLOOKUP(B9,B10:B$89,M10:M$89,0,0,1),(_xlfn.XLOOKUP(B9,B10:B$89,S10:S$89,0,0,1)*_xlfn.XLOOKUP(B9,B10:B$89,M10:M$89,0,0,1)-(F9-H9)*N9)/M9,_xlfn.XLOOKUP(B9,B10:B$89,S10:S$89,,0,1)),0))))</f>
        <v>1392.5632000000001</v>
      </c>
      <c r="T9" s="59" cm="1">
        <f t="array" ref="T9">IF(_xlfn.XLOOKUP(B9,J$2:J9,J$2:J9,0,0,-1)=B9,0,IF(G9="",-H9*N9,IFERROR(IF(_xlfn.XLOOKUP(B9,B10:B$89,M10:M$89,,0,1)&lt;0,IF(M9&gt;_xlfn.XLOOKUP(B9,B10:B$89,M10:M$89,,0,1),L9*_xlfn.XLOOKUP(B9,B10:B$89,S10:S$89,,0,1)+(-F9-H9)*N9,0),IF(_xlfn.XLOOKUP(B9,B10:B$89,M10:M$89,,0,1)&gt;0,IF(M9&lt;_xlfn.XLOOKUP(B9,B10:B$89,M10:M$89,,0,1),(F9-H9)*N9-_xlfn.XLOOKUP(B9,B10:B$89,S10:S$89,,0,1)*-L9*MAX(1,R9/_xlfn.XLOOKUP(B9,B10:B$89,Q10:Q$89,R9,0,1)),0),0)),0)))</f>
        <v>-1397.6029656834069</v>
      </c>
      <c r="U9" s="56" cm="1">
        <f t="array" ref="U9">IF(AND(OR(J9="call",J9="put"),T9&lt;&gt;0),1,IF(T9=0,"-",IF(L9&lt;0, _xlfn.LET(_xlpm.v_cant, ABS(L9), _xlpm.v_fecha, I9, _xlpm.v_ticker, B9, _xlpm.rango_f, I10:I$1000, _xlpm.rango_t, L10:L$1000, _xlpm.filtro, B10:B$1000=_xlpm.v_ticker, _xlpm.c_fechas, _xlfn._xlws.FILTER(_xlpm.rango_f, _xlpm.filtro*(_xlpm.rango_t&gt;0), _xlpm.v_fecha), _xlpm.c_cants, _xlfn._xlws.FILTER(_xlpm.rango_t, _xlpm.filtro*(_xlpm.rango_t&gt;0), 0), _xlpm.v_acums_pasadas, ABS(SUMIFS(L10:L$1000, B10:B$1000, _xlpm.v_ticker, L10:L$1000,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9" s="11"/>
      <c r="W9" s="11"/>
    </row>
    <row r="10" spans="1:23" x14ac:dyDescent="0.45">
      <c r="A10" s="3" t="s">
        <v>222</v>
      </c>
      <c r="B10" s="3" t="s">
        <v>157</v>
      </c>
      <c r="D10" s="3">
        <v>25</v>
      </c>
      <c r="E10" s="3">
        <v>40</v>
      </c>
      <c r="F10" s="15">
        <v>1000</v>
      </c>
      <c r="G10" s="3" t="s">
        <v>293</v>
      </c>
      <c r="H10" s="3">
        <v>2.08</v>
      </c>
      <c r="I10" s="14">
        <f>IFERROR(DATE(MID(G10, FIND(",", G10)+2, 4), MATCH(LEFT(G10, 3), {"Jan","Feb","Mar","Apr","May","Jun","Jul","Aug","Sep","Oct","Nov","Dec"}, 0), MID(G10, 5, FIND(",", G10)-5)) + VALUE(MID(G10, FIND(":", G10)-2, 8)),I11)</f>
        <v>45986.474305555559</v>
      </c>
      <c r="J10" s="60" t="str" cm="1">
        <f t="array" ref="J10">IF(OR(ISNUMBER(SEARCH("C",B10)),ISNUMBER(SEARCH("P",B10))),IF(ISNUMBER(SEARCH("C",B10)),"Call","Put"),IF(AND(E10&lt;&gt;0,OR(C10="option exercised",C10="option assigned"),A10="buy"),_xlfn._xlws.FILTER(B$2:B$100,(LEFT(B$2:B$100,LEN(B10))=B10)*(LEN(B$2:B$100)&gt;LEN(B10))*(K$2:K$100=E10)*(I$2:I$100=I10)*(C$2:C$100=C10)*((C10="option assigned")*(ISNUMBER(SEARCH("P",B$2:B$100)))+(C10="option exercised")*(ISNUMBER(SEARCH("C",B$2:B$100)))),""),""))</f>
        <v/>
      </c>
      <c r="K10" s="9">
        <f t="shared" si="1"/>
        <v>0</v>
      </c>
      <c r="L10" s="5">
        <f t="shared" si="0"/>
        <v>-25</v>
      </c>
      <c r="M10" s="5">
        <f>SUMIF(B10:B$88,B10,L10:L$88)</f>
        <v>25</v>
      </c>
      <c r="N10" s="9">
        <v>18.430800000000001</v>
      </c>
      <c r="O10" s="10" cm="1">
        <f t="array" ref="O10">IF(F10=0,_xlfn.XLOOKUP(B10,B11:B$89,O11:O$89,0,0,1),IF(_xlfn.XLOOKUP(B10,B11:B$89,M11:M$89,1,0,1)=0,IF(M10&gt;0,(F10+H10)*N10/M10,(F10-H10)*N10/-M10),IF(M10&gt;0,IF(M10&gt;_xlfn.XLOOKUP(B10,B11:B$89,M11:M$89,0,0,1),(_xlfn.XLOOKUP(B10,B11:B$89,O11:O$89,0,0,1)*_xlfn.XLOOKUP(B10,B11:B$89,M11:M$89,0,0,1)+(F10+H10)*N10+IF(_xlfn.XLOOKUP(J10,B11:B$89,J11:J$89,0,0,1)="put",-_xlfn.XLOOKUP(J10,B11:B$89,O11:O$89,0,0,1)*L10/100,_xlfn.XLOOKUP(J10,B11:B$89,O11:O$89,0,0,1)*L10/100))/M10,_xlfn.XLOOKUP(B10,B11:B$89,O11:O$89,,0,1)),IF(M10&lt;0,IF(M10&lt;_xlfn.XLOOKUP(B10,B11:B$89,M11:M$89,0,0,1),(_xlfn.XLOOKUP(B10,B11:B$89,O11:O$89,0,0,1)*_xlfn.XLOOKUP(B10,B11:B$89,M11:M$89,0,0,1)-(F10-H10)*N10)/M10,_xlfn.XLOOKUP(B10,B11:B$89,O10:O$88,,0,1)),0))))</f>
        <v>697.89987200000007</v>
      </c>
      <c r="P10" s="10" cm="1">
        <f t="array" ref="P10">IF(_xlfn.XLOOKUP(B10,J$2:J10,J$2:J10,0,0,-1)=B10,0,IF(G10="",-H10*N10,IFERROR(IF(_xlfn.XLOOKUP(B10,B11:B$89,M11:M$89,,0,1)&lt;0,IF(M10&gt;_xlfn.XLOOKUP(B10,B11:B$89,M11:M$89,,0,1),L10*_xlfn.XLOOKUP(B10,B11:B$89,O11:O$89,,0,1)+(-F10-H10)*N10,0),IF(_xlfn.XLOOKUP(B10,B11:B$89,M11:M$89,,0,1)&gt;0,IF(M10&lt;_xlfn.XLOOKUP(B10,B11:B$89,M11:M$89,,0,1),(F10-H10)*N10-_xlfn.XLOOKUP(B10,B11:B$89,O11:O$89,,0,1)*-L10,0),0)),0)))</f>
        <v>944.9671359999993</v>
      </c>
      <c r="Q10" s="56">
        <v>142.64500000000001</v>
      </c>
      <c r="R10" s="56">
        <v>141.708</v>
      </c>
      <c r="S10" s="10" cm="1">
        <f t="array" ref="S10">IF(F10=0,_xlfn.XLOOKUP(B10,B11:B$89,S11:S$89,0,0,1),IF(_xlfn.XLOOKUP(B10,B11:B$89,M11:M$89,1,0,1)=0,IF(M10&gt;0,(F10+H10)*N10/M10,(F10-H10)*N10/-M10),IF(M10&gt;0,IF(M10&gt;_xlfn.XLOOKUP(B10,B11:B$89,M11:M$89,0,0,1),(_xlfn.XLOOKUP(B10,B11:B$89,S11:S$89,0,0,1)*MAX(1,Q10/_xlfn.XLOOKUP(B10,B11:B$89,Q11:Q$89,Q10,0,1))*_xlfn.XLOOKUP(B10,B11:B$89,M11:M$89,0,0,1)+(F10+H10)*N10+IF(_xlfn.XLOOKUP(J10,B11:B$89,J11:J$89,0,0,1)="put",-_xlfn.XLOOKUP(J10,B11:B$89,S11:S$89,0,0,1)*L10/100,_xlfn.XLOOKUP(J10,B11:B$89,S11:S$89,0,0,1)*L10/100))/M10,_xlfn.XLOOKUP(B10,B11:B$89,S11:S$89,,0,1)*MAX(1,Q10/_xlfn.XLOOKUP(B10,B11:B$89,Q11:Q$89,Q10,0,1))),IF(M10&lt;0,IF(M10&lt;_xlfn.XLOOKUP(B10,B11:B$89,M11:M$89,0,0,1),(_xlfn.XLOOKUP(B10,B11:B$89,S11:S$89,0,0,1)*_xlfn.XLOOKUP(B10,B11:B$89,M11:M$89,0,0,1)-(F10-H10)*N10)/M10,_xlfn.XLOOKUP(B10,B11:B$89,S11:S$89,,0,1)),0))))</f>
        <v>697.89987200000007</v>
      </c>
      <c r="T10" s="59" cm="1">
        <f t="array" ref="T10">IF(_xlfn.XLOOKUP(B10,J$2:J10,J$2:J10,0,0,-1)=B10,0,IF(G10="",-H10*N10,IFERROR(IF(_xlfn.XLOOKUP(B10,B11:B$89,M11:M$89,,0,1)&lt;0,IF(M10&gt;_xlfn.XLOOKUP(B10,B11:B$89,M11:M$89,,0,1),L10*_xlfn.XLOOKUP(B10,B11:B$89,S11:S$89,,0,1)+(-F10-H10)*N10,0),IF(_xlfn.XLOOKUP(B10,B11:B$89,M11:M$89,,0,1)&gt;0,IF(M10&lt;_xlfn.XLOOKUP(B10,B11:B$89,M11:M$89,,0,1),(F10-H10)*N10-_xlfn.XLOOKUP(B10,B11:B$89,S11:S$89,,0,1)*-L10*MAX(1,R10/_xlfn.XLOOKUP(B10,B11:B$89,Q11:Q$89,R10,0,1)),0),0)),0)))</f>
        <v>944.9671359999993</v>
      </c>
      <c r="U10" s="56" cm="1">
        <f t="array" ref="U10">IF(AND(OR(J10="call",J10="put"),T10&lt;&gt;0),1,IF(T10=0,"-",IF(L10&lt;0, _xlfn.LET(_xlpm.v_cant, ABS(L10), _xlpm.v_fecha, I10, _xlpm.v_ticker, B10, _xlpm.rango_f, I11:I$1000, _xlpm.rango_t, L11:L$1000, _xlpm.filtro, B11:B$1000=_xlpm.v_ticker, _xlpm.c_fechas, _xlfn._xlws.FILTER(_xlpm.rango_f, _xlpm.filtro*(_xlpm.rango_t&gt;0), _xlpm.v_fecha), _xlpm.c_cants, _xlfn._xlws.FILTER(_xlpm.rango_t, _xlpm.filtro*(_xlpm.rango_t&gt;0), 0), _xlpm.v_acums_pasadas, ABS(SUMIFS(L11:L$1000, B11:B$1000, _xlpm.v_ticker, L11:L$1000,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10" s="11"/>
      <c r="W10" s="11"/>
    </row>
    <row r="11" spans="1:23" x14ac:dyDescent="0.45">
      <c r="A11" s="3" t="s">
        <v>222</v>
      </c>
      <c r="B11" s="3" t="s">
        <v>157</v>
      </c>
      <c r="C11" s="3" t="s">
        <v>534</v>
      </c>
      <c r="D11" s="3">
        <v>50</v>
      </c>
      <c r="E11" s="3">
        <v>36.840000000000003</v>
      </c>
      <c r="F11" s="15">
        <v>1842</v>
      </c>
      <c r="G11" s="3" t="s">
        <v>294</v>
      </c>
      <c r="H11" s="3">
        <v>2.15</v>
      </c>
      <c r="I11" s="14">
        <f>IFERROR(DATE(MID(G11, FIND(",", G11)+2, 4), MATCH(LEFT(G11, 3), {"Jan","Feb","Mar","Apr","May","Jun","Jul","Aug","Sep","Oct","Nov","Dec"}, 0), MID(G11, 5, FIND(",", G11)-5)) + VALUE(MID(G11, FIND(":", G11)-2, 8)),I12)</f>
        <v>45982.403391203705</v>
      </c>
      <c r="J11" s="60" t="str" cm="1">
        <f t="array" ref="J11">IF(OR(ISNUMBER(SEARCH("C",B11)),ISNUMBER(SEARCH("P",B11))),IF(ISNUMBER(SEARCH("C",B11)),"Call","Put"),IF(AND(E11&lt;&gt;0,OR(C11="option exercised",C11="option assigned"),A11="buy"),_xlfn._xlws.FILTER(B$2:B$100,(LEFT(B$2:B$100,LEN(B11))=B11)*(LEN(B$2:B$100)&gt;LEN(B11))*(K$2:K$100=E11)*(I$2:I$100=I11)*(C$2:C$100=C11)*((C11="option assigned")*(ISNUMBER(SEARCH("P",B$2:B$100)))+(C11="option exercised")*(ISNUMBER(SEARCH("C",B$2:B$100)))),""),""))</f>
        <v/>
      </c>
      <c r="K11" s="9">
        <f t="shared" si="1"/>
        <v>0</v>
      </c>
      <c r="L11" s="5">
        <f t="shared" si="0"/>
        <v>-50</v>
      </c>
      <c r="M11" s="5">
        <f>SUMIF(B11:B$88,B11,L11:L$88)</f>
        <v>50</v>
      </c>
      <c r="N11" s="9">
        <v>18.496500000000001</v>
      </c>
      <c r="O11" s="10" cm="1">
        <f t="array" ref="O11">IF(F11=0,_xlfn.XLOOKUP(B11,B12:B$89,O12:O$89,0,0,1),IF(_xlfn.XLOOKUP(B11,B12:B$89,M12:M$89,1,0,1)=0,IF(M11&gt;0,(F11+H11)*N11/M11,(F11-H11)*N11/-M11),IF(M11&gt;0,IF(M11&gt;_xlfn.XLOOKUP(B11,B12:B$89,M12:M$89,0,0,1),(_xlfn.XLOOKUP(B11,B12:B$89,O12:O$89,0,0,1)*_xlfn.XLOOKUP(B11,B12:B$89,M12:M$89,0,0,1)+(F11+H11)*N11+IF(_xlfn.XLOOKUP(J11,B12:B$89,J12:J$89,0,0,1)="put",-_xlfn.XLOOKUP(J11,B12:B$89,O12:O$89,0,0,1)*L11/100,_xlfn.XLOOKUP(J11,B12:B$89,O12:O$89,0,0,1)*L11/100))/M11,_xlfn.XLOOKUP(B11,B12:B$89,O12:O$89,,0,1)),IF(M11&lt;0,IF(M11&lt;_xlfn.XLOOKUP(B11,B12:B$89,M12:M$89,0,0,1),(_xlfn.XLOOKUP(B11,B12:B$89,O12:O$89,0,0,1)*_xlfn.XLOOKUP(B11,B12:B$89,M12:M$89,0,0,1)-(F11-H11)*N11)/M11,_xlfn.XLOOKUP(B11,B12:B$89,O11:O$88,,0,1)),0))))</f>
        <v>697.89987200000007</v>
      </c>
      <c r="P11" s="10" cm="1">
        <f t="array" ref="P11">IF(_xlfn.XLOOKUP(B11,J$2:J11,J$2:J11,0,0,-1)=B11,0,IF(G11="",-H11*N11,IFERROR(IF(_xlfn.XLOOKUP(B11,B12:B$89,M12:M$89,,0,1)&lt;0,IF(M11&gt;_xlfn.XLOOKUP(B11,B12:B$89,M12:M$89,,0,1),L11*_xlfn.XLOOKUP(B11,B12:B$89,O12:O$89,,0,1)+(-F11-H11)*N11,0),IF(_xlfn.XLOOKUP(B11,B12:B$89,M12:M$89,,0,1)&gt;0,IF(M11&lt;_xlfn.XLOOKUP(B11,B12:B$89,M12:M$89,,0,1),(F11-H11)*N11-_xlfn.XLOOKUP(B11,B12:B$89,O12:O$89,,0,1)*-L11,0),0)),0)))</f>
        <v>-864.20807500000228</v>
      </c>
      <c r="Q11" s="56">
        <v>142.64500000000001</v>
      </c>
      <c r="R11" s="56">
        <v>141.708</v>
      </c>
      <c r="S11" s="10" cm="1">
        <f t="array" ref="S11">IF(F11=0,_xlfn.XLOOKUP(B11,B12:B$89,S12:S$89,0,0,1),IF(_xlfn.XLOOKUP(B11,B12:B$89,M12:M$89,1,0,1)=0,IF(M11&gt;0,(F11+H11)*N11/M11,(F11-H11)*N11/-M11),IF(M11&gt;0,IF(M11&gt;_xlfn.XLOOKUP(B11,B12:B$89,M12:M$89,0,0,1),(_xlfn.XLOOKUP(B11,B12:B$89,S12:S$89,0,0,1)*MAX(1,Q11/_xlfn.XLOOKUP(B11,B12:B$89,Q12:Q$89,Q11,0,1))*_xlfn.XLOOKUP(B11,B12:B$89,M12:M$89,0,0,1)+(F11+H11)*N11+IF(_xlfn.XLOOKUP(J11,B12:B$89,J12:J$89,0,0,1)="put",-_xlfn.XLOOKUP(J11,B12:B$89,S12:S$89,0,0,1)*L11/100,_xlfn.XLOOKUP(J11,B12:B$89,S12:S$89,0,0,1)*L11/100))/M11,_xlfn.XLOOKUP(B11,B12:B$89,S12:S$89,,0,1)*MAX(1,Q11/_xlfn.XLOOKUP(B11,B12:B$89,Q12:Q$89,Q11,0,1))),IF(M11&lt;0,IF(M11&lt;_xlfn.XLOOKUP(B11,B12:B$89,M12:M$89,0,0,1),(_xlfn.XLOOKUP(B11,B12:B$89,S12:S$89,0,0,1)*_xlfn.XLOOKUP(B11,B12:B$89,M12:M$89,0,0,1)-(F11-H11)*N11)/M11,_xlfn.XLOOKUP(B11,B12:B$89,S12:S$89,,0,1)),0))))</f>
        <v>697.89987200000007</v>
      </c>
      <c r="T11" s="59" cm="1">
        <f t="array" ref="T11">IF(_xlfn.XLOOKUP(B11,J$2:J11,J$2:J11,0,0,-1)=B11,0,IF(G11="",-H11*N11,IFERROR(IF(_xlfn.XLOOKUP(B11,B12:B$89,M12:M$89,,0,1)&lt;0,IF(M11&gt;_xlfn.XLOOKUP(B11,B12:B$89,M12:M$89,,0,1),L11*_xlfn.XLOOKUP(B11,B12:B$89,S12:S$89,,0,1)+(-F11-H11)*N11,0),IF(_xlfn.XLOOKUP(B11,B12:B$89,M12:M$89,,0,1)&gt;0,IF(M11&lt;_xlfn.XLOOKUP(B11,B12:B$89,M12:M$89,,0,1),(F11-H11)*N11-_xlfn.XLOOKUP(B11,B12:B$89,S12:S$89,,0,1)*-L11*MAX(1,R11/_xlfn.XLOOKUP(B11,B12:B$89,Q12:Q$89,R11,0,1)),0),0)),0)))</f>
        <v>-864.20807500000228</v>
      </c>
      <c r="U11" s="56" cm="1">
        <f t="array" ref="U11">IF(AND(OR(J11="call",J11="put"),T11&lt;&gt;0),1,IF(T11=0,"-",IF(L11&lt;0, _xlfn.LET(_xlpm.v_cant, ABS(L11), _xlpm.v_fecha, I11, _xlpm.v_ticker, B11, _xlpm.rango_f, I12:I$1000, _xlpm.rango_t, L12:L$1000, _xlpm.filtro, B12:B$1000=_xlpm.v_ticker, _xlpm.c_fechas, _xlfn._xlws.FILTER(_xlpm.rango_f, _xlpm.filtro*(_xlpm.rango_t&gt;0), _xlpm.v_fecha), _xlpm.c_cants, _xlfn._xlws.FILTER(_xlpm.rango_t, _xlpm.filtro*(_xlpm.rango_t&gt;0), 0), _xlpm.v_acums_pasadas, ABS(SUMIFS(L12:L$1000, B12:B$1000, _xlpm.v_ticker, L12:L$1000,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11" s="11"/>
      <c r="W11" s="11"/>
    </row>
    <row r="12" spans="1:23" ht="32" x14ac:dyDescent="0.45">
      <c r="A12" s="3" t="s">
        <v>224</v>
      </c>
      <c r="B12" s="3" t="s">
        <v>157</v>
      </c>
      <c r="C12" s="3" t="s">
        <v>535</v>
      </c>
      <c r="D12" s="3">
        <v>100</v>
      </c>
      <c r="E12" s="3">
        <v>40</v>
      </c>
      <c r="F12" s="15">
        <v>4000</v>
      </c>
      <c r="G12" s="3" t="s">
        <v>295</v>
      </c>
      <c r="H12" s="3">
        <v>0</v>
      </c>
      <c r="I12" s="14">
        <f>IFERROR(DATE(MID(G12, FIND(",", G12)+2, 4), MATCH(LEFT(G12, 3), {"Jan","Feb","Mar","Apr","May","Jun","Jul","Aug","Sep","Oct","Nov","Dec"}, 0), MID(G12, 5, FIND(",", G12)-5)) + VALUE(MID(G12, FIND(":", G12)-2, 8)),I13)</f>
        <v>45982.083993055552</v>
      </c>
      <c r="J12" s="60" t="str" cm="1">
        <f t="array" ref="J12">IF(OR(ISNUMBER(SEARCH("C",B12)),ISNUMBER(SEARCH("P",B12))),IF(ISNUMBER(SEARCH("C",B12)),"Call","Put"),IF(AND(E12&lt;&gt;0,OR(C12="option exercised",C12="option assigned"),A12="buy"),_xlfn._xlws.FILTER(B$2:B$100,(LEFT(B$2:B$100,LEN(B12))=B12)*(LEN(B$2:B$100)&gt;LEN(B12))*(K$2:K$100=E12)*(I$2:I$100=I12)*(C$2:C$100=C12)*((C12="option assigned")*(ISNUMBER(SEARCH("P",B$2:B$100)))+(C12="option exercised")*(ISNUMBER(SEARCH("C",B$2:B$100)))),""),""))</f>
        <v>ETOR251121P40000</v>
      </c>
      <c r="K12" s="9">
        <f t="shared" si="1"/>
        <v>0</v>
      </c>
      <c r="L12" s="5">
        <f t="shared" si="0"/>
        <v>100</v>
      </c>
      <c r="M12" s="5">
        <f>SUMIF(B12:B$88,B12,L12:L$88)</f>
        <v>100</v>
      </c>
      <c r="N12" s="9">
        <v>18.496500000000001</v>
      </c>
      <c r="O12" s="10" cm="1">
        <f t="array" ref="O12">IF(F12=0,_xlfn.XLOOKUP(B12,B13:B$89,O13:O$89,0,0,1),IF(_xlfn.XLOOKUP(B12,B13:B$89,M13:M$89,1,0,1)=0,IF(M12&gt;0,(F12+H12)*N12/M12,(F12-H12)*N12/-M12),IF(M12&gt;0,IF(M12&gt;_xlfn.XLOOKUP(B12,B13:B$89,M13:M$89,0,0,1),(_xlfn.XLOOKUP(B12,B13:B$89,O13:O$89,0,0,1)*_xlfn.XLOOKUP(B12,B13:B$89,M13:M$89,0,0,1)+(F12+H12)*N12+IF(_xlfn.XLOOKUP(J12,B13:B$89,J13:J$89,0,0,1)="put",-_xlfn.XLOOKUP(J12,B13:B$89,O13:O$89,0,0,1)*L12/100,_xlfn.XLOOKUP(J12,B13:B$89,O13:O$89,0,0,1)*L12/100))/M12,_xlfn.XLOOKUP(B12,B13:B$89,O13:O$89,,0,1)),IF(M12&lt;0,IF(M12&lt;_xlfn.XLOOKUP(B12,B13:B$89,M13:M$89,0,0,1),(_xlfn.XLOOKUP(B12,B13:B$89,O13:O$89,0,0,1)*_xlfn.XLOOKUP(B12,B13:B$89,M13:M$89,0,0,1)-(F12-H12)*N12)/M12,_xlfn.XLOOKUP(B12,B13:B$89,O12:O$88,,0,1)),0))))</f>
        <v>697.89987200000007</v>
      </c>
      <c r="P12" s="10" cm="1">
        <f t="array" ref="P12">IF(_xlfn.XLOOKUP(B12,J$2:J12,J$2:J12,0,0,-1)=B12,0,IF(G12="",-H12*N12,IFERROR(IF(_xlfn.XLOOKUP(B12,B13:B$89,M13:M$89,,0,1)&lt;0,IF(M12&gt;_xlfn.XLOOKUP(B12,B13:B$89,M13:M$89,,0,1),L12*_xlfn.XLOOKUP(B12,B13:B$89,O13:O$89,,0,1)+(-F12-H12)*N12,0),IF(_xlfn.XLOOKUP(B12,B13:B$89,M13:M$89,,0,1)&gt;0,IF(M12&lt;_xlfn.XLOOKUP(B12,B13:B$89,M13:M$89,,0,1),(F12-H12)*N12-_xlfn.XLOOKUP(B12,B13:B$89,O13:O$89,,0,1)*-L12,0),0)),0)))</f>
        <v>0</v>
      </c>
      <c r="Q12" s="56">
        <v>142.64500000000001</v>
      </c>
      <c r="R12" s="56">
        <v>141.708</v>
      </c>
      <c r="S12" s="10" cm="1">
        <f t="array" ref="S12">IF(F12=0,_xlfn.XLOOKUP(B12,B13:B$89,S13:S$89,0,0,1),IF(_xlfn.XLOOKUP(B12,B13:B$89,M13:M$89,1,0,1)=0,IF(M12&gt;0,(F12+H12)*N12/M12,(F12-H12)*N12/-M12),IF(M12&gt;0,IF(M12&gt;_xlfn.XLOOKUP(B12,B13:B$89,M13:M$89,0,0,1),(_xlfn.XLOOKUP(B12,B13:B$89,S13:S$89,0,0,1)*MAX(1,Q12/_xlfn.XLOOKUP(B12,B13:B$89,Q13:Q$89,Q12,0,1))*_xlfn.XLOOKUP(B12,B13:B$89,M13:M$89,0,0,1)+(F12+H12)*N12+IF(_xlfn.XLOOKUP(J12,B13:B$89,J13:J$89,0,0,1)="put",-_xlfn.XLOOKUP(J12,B13:B$89,S13:S$89,0,0,1)*L12/100,_xlfn.XLOOKUP(J12,B13:B$89,S13:S$89,0,0,1)*L12/100))/M12,_xlfn.XLOOKUP(B12,B13:B$89,S13:S$89,,0,1)*MAX(1,Q12/_xlfn.XLOOKUP(B12,B13:B$89,Q13:Q$89,Q12,0,1))),IF(M12&lt;0,IF(M12&lt;_xlfn.XLOOKUP(B12,B13:B$89,M13:M$89,0,0,1),(_xlfn.XLOOKUP(B12,B13:B$89,S13:S$89,0,0,1)*_xlfn.XLOOKUP(B12,B13:B$89,M13:M$89,0,0,1)-(F12-H12)*N12)/M12,_xlfn.XLOOKUP(B12,B13:B$89,S13:S$89,,0,1)),0))))</f>
        <v>697.89987200000007</v>
      </c>
      <c r="T12" s="59" cm="1">
        <f t="array" ref="T12">IF(_xlfn.XLOOKUP(B12,J$2:J12,J$2:J12,0,0,-1)=B12,0,IF(G12="",-H12*N12,IFERROR(IF(_xlfn.XLOOKUP(B12,B13:B$89,M13:M$89,,0,1)&lt;0,IF(M12&gt;_xlfn.XLOOKUP(B12,B13:B$89,M13:M$89,,0,1),L12*_xlfn.XLOOKUP(B12,B13:B$89,S13:S$89,,0,1)+(-F12-H12)*N12,0),IF(_xlfn.XLOOKUP(B12,B13:B$89,M13:M$89,,0,1)&gt;0,IF(M12&lt;_xlfn.XLOOKUP(B12,B13:B$89,M13:M$89,,0,1),(F12-H12)*N12-_xlfn.XLOOKUP(B12,B13:B$89,S13:S$89,,0,1)*-L12*MAX(1,R12/_xlfn.XLOOKUP(B12,B13:B$89,Q13:Q$89,R12,0,1)),0),0)),0)))</f>
        <v>0</v>
      </c>
      <c r="U12" s="56" t="str" cm="1">
        <f t="array" ref="U12">IF(AND(OR(J12="call",J12="put"),T12&lt;&gt;0),1,IF(T12=0,"-",IF(L12&lt;0, _xlfn.LET(_xlpm.v_cant, ABS(L12), _xlpm.v_fecha, I12, _xlpm.v_ticker, B12, _xlpm.rango_f, I13:I$1000, _xlpm.rango_t, L13:L$1000, _xlpm.filtro, B13:B$1000=_xlpm.v_ticker, _xlpm.c_fechas, _xlfn._xlws.FILTER(_xlpm.rango_f, _xlpm.filtro*(_xlpm.rango_t&gt;0), _xlpm.v_fecha), _xlpm.c_cants, _xlfn._xlws.FILTER(_xlpm.rango_t, _xlpm.filtro*(_xlpm.rango_t&gt;0), 0), _xlpm.v_acums_pasadas, ABS(SUMIFS(L13:L$1000, B13:B$1000, _xlpm.v_ticker, L13:L$1000,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12" s="11"/>
    </row>
    <row r="13" spans="1:23" x14ac:dyDescent="0.45">
      <c r="A13" s="3" t="s">
        <v>224</v>
      </c>
      <c r="B13" s="3" t="s">
        <v>296</v>
      </c>
      <c r="C13" s="3" t="s">
        <v>535</v>
      </c>
      <c r="D13" s="3">
        <v>1</v>
      </c>
      <c r="E13" s="3">
        <v>0</v>
      </c>
      <c r="F13" s="3">
        <v>0</v>
      </c>
      <c r="G13" s="3" t="s">
        <v>295</v>
      </c>
      <c r="H13" s="3">
        <v>0</v>
      </c>
      <c r="I13" s="14">
        <f>IFERROR(DATE(MID(G13, FIND(",", G13)+2, 4), MATCH(LEFT(G13, 3), {"Jan","Feb","Mar","Apr","May","Jun","Jul","Aug","Sep","Oct","Nov","Dec"}, 0), MID(G13, 5, FIND(",", G13)-5)) + VALUE(MID(G13, FIND(":", G13)-2, 8)),I14)</f>
        <v>45982.083993055552</v>
      </c>
      <c r="J13" s="60" t="str" cm="1">
        <f t="array" ref="J13">IF(OR(ISNUMBER(SEARCH("C",B13)),ISNUMBER(SEARCH("P",B13))),IF(ISNUMBER(SEARCH("C",B13)),"Call","Put"),IF(AND(E13&lt;&gt;0,OR(C13="option exercised",C13="option assigned"),A13="buy"),_xlfn._xlws.FILTER(B$2:B$100,(LEFT(B$2:B$100,LEN(B13))=B13)*(LEN(B$2:B$100)&gt;LEN(B13))*(K$2:K$100=E13)*(I$2:I$100=I13)*(C$2:C$100=C13)*((C13="option assigned")*(ISNUMBER(SEARCH("P",B$2:B$100)))+(C13="option exercised")*(ISNUMBER(SEARCH("C",B$2:B$100)))),""),""))</f>
        <v>Put</v>
      </c>
      <c r="K13" s="9">
        <f t="shared" si="1"/>
        <v>40</v>
      </c>
      <c r="L13" s="5">
        <f t="shared" si="0"/>
        <v>1</v>
      </c>
      <c r="M13" s="5">
        <f>SUMIF(B13:B$88,B13,L13:L$88)</f>
        <v>0</v>
      </c>
      <c r="N13" s="9">
        <v>18.496500000000001</v>
      </c>
      <c r="O13" s="10" cm="1">
        <f t="array" ref="O13">IF(F13=0,_xlfn.XLOOKUP(B13,B14:B$89,O14:O$89,0,0,1),IF(_xlfn.XLOOKUP(B13,B14:B$89,M14:M$89,1,0,1)=0,IF(M13&gt;0,(F13+H13)*N13/M13,(F13-H13)*N13/-M13),IF(M13&gt;0,IF(M13&gt;_xlfn.XLOOKUP(B13,B14:B$89,M14:M$89,0,0,1),(_xlfn.XLOOKUP(B13,B14:B$89,O14:O$89,0,0,1)*_xlfn.XLOOKUP(B13,B14:B$89,M14:M$89,0,0,1)+(F13+H13)*N13+IF(_xlfn.XLOOKUP(J13,B14:B$89,J14:J$89,0,0,1)="put",-_xlfn.XLOOKUP(J13,B14:B$89,O14:O$89,0,0,1)*L13/100,_xlfn.XLOOKUP(J13,B14:B$89,O14:O$89,0,0,1)*L13/100))/M13,_xlfn.XLOOKUP(B13,B14:B$89,O14:O$89,,0,1)),IF(M13&lt;0,IF(M13&lt;_xlfn.XLOOKUP(B13,B14:B$89,M14:M$89,0,0,1),(_xlfn.XLOOKUP(B13,B14:B$89,O14:O$89,0,0,1)*_xlfn.XLOOKUP(B13,B14:B$89,M14:M$89,0,0,1)-(F13-H13)*N13)/M13,_xlfn.XLOOKUP(B13,B14:B$89,O13:O$88,,0,1)),0))))</f>
        <v>4196.0128000000004</v>
      </c>
      <c r="P13" s="10" cm="1">
        <f t="array" ref="P13">IF(_xlfn.XLOOKUP(B13,J$2:J13,J$2:J13,0,0,-1)=B13,0,IF(G13="",-H13*N13,IFERROR(IF(_xlfn.XLOOKUP(B13,B14:B$89,M14:M$89,,0,1)&lt;0,IF(M13&gt;_xlfn.XLOOKUP(B13,B14:B$89,M14:M$89,,0,1),L13*_xlfn.XLOOKUP(B13,B14:B$89,O14:O$89,,0,1)+(-F13-H13)*N13,0),IF(_xlfn.XLOOKUP(B13,B14:B$89,M14:M$89,,0,1)&gt;0,IF(M13&lt;_xlfn.XLOOKUP(B13,B14:B$89,M14:M$89,,0,1),(F13-H13)*N13-_xlfn.XLOOKUP(B13,B14:B$89,O14:O$89,,0,1)*-L13,0),0)),0)))</f>
        <v>0</v>
      </c>
      <c r="Q13" s="56">
        <v>142.64500000000001</v>
      </c>
      <c r="R13" s="56">
        <v>141.708</v>
      </c>
      <c r="S13" s="10" cm="1">
        <f t="array" ref="S13">IF(F13=0,_xlfn.XLOOKUP(B13,B14:B$89,S14:S$89,0,0,1),IF(_xlfn.XLOOKUP(B13,B14:B$89,M14:M$89,1,0,1)=0,IF(M13&gt;0,(F13+H13)*N13/M13,(F13-H13)*N13/-M13),IF(M13&gt;0,IF(M13&gt;_xlfn.XLOOKUP(B13,B14:B$89,M14:M$89,0,0,1),(_xlfn.XLOOKUP(B13,B14:B$89,S14:S$89,0,0,1)*MAX(1,Q13/_xlfn.XLOOKUP(B13,B14:B$89,Q14:Q$89,Q13,0,1))*_xlfn.XLOOKUP(B13,B14:B$89,M14:M$89,0,0,1)+(F13+H13)*N13+IF(_xlfn.XLOOKUP(J13,B14:B$89,J14:J$89,0,0,1)="put",-_xlfn.XLOOKUP(J13,B14:B$89,S14:S$89,0,0,1)*L13/100,_xlfn.XLOOKUP(J13,B14:B$89,S14:S$89,0,0,1)*L13/100))/M13,_xlfn.XLOOKUP(B13,B14:B$89,S14:S$89,,0,1)*MAX(1,Q13/_xlfn.XLOOKUP(B13,B14:B$89,Q14:Q$89,Q13,0,1))),IF(M13&lt;0,IF(M13&lt;_xlfn.XLOOKUP(B13,B14:B$89,M14:M$89,0,0,1),(_xlfn.XLOOKUP(B13,B14:B$89,S14:S$89,0,0,1)*_xlfn.XLOOKUP(B13,B14:B$89,M14:M$89,0,0,1)-(F13-H13)*N13)/M13,_xlfn.XLOOKUP(B13,B14:B$89,S14:S$89,,0,1)),0))))</f>
        <v>4196.0128000000004</v>
      </c>
      <c r="T13" s="59" cm="1">
        <f t="array" ref="T13">IF(_xlfn.XLOOKUP(B13,J$2:J13,J$2:J13,0,0,-1)=B13,0,IF(G13="",-H13*N13,IFERROR(IF(_xlfn.XLOOKUP(B13,B14:B$89,M14:M$89,,0,1)&lt;0,IF(M13&gt;_xlfn.XLOOKUP(B13,B14:B$89,M14:M$89,,0,1),L13*_xlfn.XLOOKUP(B13,B14:B$89,S14:S$89,,0,1)+(-F13-H13)*N13,0),IF(_xlfn.XLOOKUP(B13,B14:B$89,M14:M$89,,0,1)&gt;0,IF(M13&lt;_xlfn.XLOOKUP(B13,B14:B$89,M14:M$89,,0,1),(F13-H13)*N13-_xlfn.XLOOKUP(B13,B14:B$89,S14:S$89,,0,1)*-L13*MAX(1,R13/_xlfn.XLOOKUP(B13,B14:B$89,Q14:Q$89,R13,0,1)),0),0)),0)))</f>
        <v>0</v>
      </c>
      <c r="U13" s="56" t="str" cm="1">
        <f t="array" ref="U13">IF(AND(OR(J13="call",J13="put"),T13&lt;&gt;0),1,IF(T13=0,"-",IF(L13&lt;0, _xlfn.LET(_xlpm.v_cant, ABS(L13), _xlpm.v_fecha, I13, _xlpm.v_ticker, B13, _xlpm.rango_f, I14:I$1000, _xlpm.rango_t, L14:L$1000, _xlpm.filtro, B14:B$1000=_xlpm.v_ticker, _xlpm.c_fechas, _xlfn._xlws.FILTER(_xlpm.rango_f, _xlpm.filtro*(_xlpm.rango_t&gt;0), _xlpm.v_fecha), _xlpm.c_cants, _xlfn._xlws.FILTER(_xlpm.rango_t, _xlpm.filtro*(_xlpm.rango_t&gt;0), 0), _xlpm.v_acums_pasadas, ABS(SUMIFS(L14:L$1000, B14:B$1000, _xlpm.v_ticker, L14:L$1000,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13" s="11"/>
    </row>
    <row r="14" spans="1:23" x14ac:dyDescent="0.45">
      <c r="A14" s="3" t="s">
        <v>222</v>
      </c>
      <c r="B14" s="3" t="s">
        <v>287</v>
      </c>
      <c r="H14" s="3">
        <v>5.97</v>
      </c>
      <c r="I14" s="14">
        <f>IFERROR(DATE(MID(G14, FIND(",", G14)+2, 4), MATCH(LEFT(G14, 3), {"Jan","Feb","Mar","Apr","May","Jun","Jul","Aug","Sep","Oct","Nov","Dec"}, 0), MID(G14, 5, FIND(",", G14)-5)) + VALUE(MID(G14, FIND(":", G14)-2, 8)),I15)</f>
        <v>45981.550868055558</v>
      </c>
      <c r="J14" s="60" t="str" cm="1">
        <f t="array" ref="J14">IF(OR(ISNUMBER(SEARCH("C",B14)),ISNUMBER(SEARCH("P",B14))),IF(ISNUMBER(SEARCH("C",B14)),"Call","Put"),IF(AND(E14&lt;&gt;0,OR(C14="option exercised",C14="option assigned"),A14="buy"),_xlfn._xlws.FILTER(B$2:B$100,(LEFT(B$2:B$100,LEN(B14))=B14)*(LEN(B$2:B$100)&gt;LEN(B14))*(K$2:K$100=E14)*(I$2:I$100=I14)*(C$2:C$100=C14)*((C14="option assigned")*(ISNUMBER(SEARCH("P",B$2:B$100)))+(C14="option exercised")*(ISNUMBER(SEARCH("C",B$2:B$100)))),""),""))</f>
        <v>Call</v>
      </c>
      <c r="K14" s="9">
        <f t="shared" si="1"/>
        <v>0</v>
      </c>
      <c r="L14" s="5">
        <f t="shared" si="0"/>
        <v>0</v>
      </c>
      <c r="M14" s="5">
        <f>SUMIF(B14:B$88,B14,L14:L$88)</f>
        <v>0</v>
      </c>
      <c r="N14" s="9">
        <v>18.355</v>
      </c>
      <c r="O14" s="10" cm="1">
        <f t="array" ref="O14">IF(F14=0,_xlfn.XLOOKUP(B14,B15:B$89,O15:O$89,0,0,1),IF(_xlfn.XLOOKUP(B14,B15:B$89,M15:M$89,1,0,1)=0,IF(M14&gt;0,(F14+H14)*N14/M14,(F14-H14)*N14/-M14),IF(M14&gt;0,IF(M14&gt;_xlfn.XLOOKUP(B14,B15:B$89,M15:M$89,0,0,1),(_xlfn.XLOOKUP(B14,B15:B$89,O15:O$89,0,0,1)*_xlfn.XLOOKUP(B14,B15:B$89,M15:M$89,0,0,1)+(F14+H14)*N14+IF(_xlfn.XLOOKUP(J14,B15:B$89,J15:J$89,0,0,1)="put",-_xlfn.XLOOKUP(J14,B15:B$89,O15:O$89,0,0,1)*L14/100,_xlfn.XLOOKUP(J14,B15:B$89,O15:O$89,0,0,1)*L14/100))/M14,_xlfn.XLOOKUP(B14,B15:B$89,O15:O$89,,0,1)),IF(M14&lt;0,IF(M14&lt;_xlfn.XLOOKUP(B14,B15:B$89,M15:M$89,0,0,1),(_xlfn.XLOOKUP(B14,B15:B$89,O15:O$89,0,0,1)*_xlfn.XLOOKUP(B14,B15:B$89,M15:M$89,0,0,1)-(F14-H14)*N14)/M14,_xlfn.XLOOKUP(B14,B15:B$89,O14:O$88,,0,1)),0))))</f>
        <v>0</v>
      </c>
      <c r="P14" s="10" cm="1">
        <f t="array" ref="P14">IF(_xlfn.XLOOKUP(B14,J$2:J14,J$2:J14,0,0,-1)=B14,0,IF(G14="",-H14*N14,IFERROR(IF(_xlfn.XLOOKUP(B14,B15:B$89,M15:M$89,,0,1)&lt;0,IF(M14&gt;_xlfn.XLOOKUP(B14,B15:B$89,M15:M$89,,0,1),L14*_xlfn.XLOOKUP(B14,B15:B$89,O15:O$89,,0,1)+(-F14-H14)*N14,0),IF(_xlfn.XLOOKUP(B14,B15:B$89,M15:M$89,,0,1)&gt;0,IF(M14&lt;_xlfn.XLOOKUP(B14,B15:B$89,M15:M$89,,0,1),(F14-H14)*N14-_xlfn.XLOOKUP(B14,B15:B$89,O15:O$89,,0,1)*-L14,0),0)),0)))</f>
        <v>-109.57934999999999</v>
      </c>
      <c r="Q14" s="56">
        <v>142.64500000000001</v>
      </c>
      <c r="R14" s="56">
        <v>141.708</v>
      </c>
      <c r="S14" s="10" cm="1">
        <f t="array" ref="S14">IF(F14=0,_xlfn.XLOOKUP(B14,B15:B$89,S15:S$89,0,0,1),IF(_xlfn.XLOOKUP(B14,B15:B$89,M15:M$89,1,0,1)=0,IF(M14&gt;0,(F14+H14)*N14/M14,(F14-H14)*N14/-M14),IF(M14&gt;0,IF(M14&gt;_xlfn.XLOOKUP(B14,B15:B$89,M15:M$89,0,0,1),(_xlfn.XLOOKUP(B14,B15:B$89,S15:S$89,0,0,1)*MAX(1,Q14/_xlfn.XLOOKUP(B14,B15:B$89,Q15:Q$89,Q14,0,1))*_xlfn.XLOOKUP(B14,B15:B$89,M15:M$89,0,0,1)+(F14+H14)*N14+IF(_xlfn.XLOOKUP(J14,B15:B$89,J15:J$89,0,0,1)="put",-_xlfn.XLOOKUP(J14,B15:B$89,S15:S$89,0,0,1)*L14/100,_xlfn.XLOOKUP(J14,B15:B$89,S15:S$89,0,0,1)*L14/100))/M14,_xlfn.XLOOKUP(B14,B15:B$89,S15:S$89,,0,1)*MAX(1,Q14/_xlfn.XLOOKUP(B14,B15:B$89,Q15:Q$89,Q14,0,1))),IF(M14&lt;0,IF(M14&lt;_xlfn.XLOOKUP(B14,B15:B$89,M15:M$89,0,0,1),(_xlfn.XLOOKUP(B14,B15:B$89,S15:S$89,0,0,1)*_xlfn.XLOOKUP(B14,B15:B$89,M15:M$89,0,0,1)-(F14-H14)*N14)/M14,_xlfn.XLOOKUP(B14,B15:B$89,S15:S$89,,0,1)),0))))</f>
        <v>0</v>
      </c>
      <c r="T14" s="59" cm="1">
        <f t="array" ref="T14">IF(_xlfn.XLOOKUP(B14,J$2:J14,J$2:J14,0,0,-1)=B14,0,IF(G14="",-H14*N14,IFERROR(IF(_xlfn.XLOOKUP(B14,B15:B$89,M15:M$89,,0,1)&lt;0,IF(M14&gt;_xlfn.XLOOKUP(B14,B15:B$89,M15:M$89,,0,1),L14*_xlfn.XLOOKUP(B14,B15:B$89,S15:S$89,,0,1)+(-F14-H14)*N14,0),IF(_xlfn.XLOOKUP(B14,B15:B$89,M15:M$89,,0,1)&gt;0,IF(M14&lt;_xlfn.XLOOKUP(B14,B15:B$89,M15:M$89,,0,1),(F14-H14)*N14-_xlfn.XLOOKUP(B14,B15:B$89,S15:S$89,,0,1)*-L14*MAX(1,R14/_xlfn.XLOOKUP(B14,B15:B$89,Q15:Q$89,R14,0,1)),0),0)),0)))</f>
        <v>-109.57934999999999</v>
      </c>
      <c r="U14" s="56" cm="1">
        <f t="array" ref="U14">IF(AND(OR(J14="call",J14="put"),T14&lt;&gt;0),1,IF(T14=0,"-",IF(L14&lt;0, _xlfn.LET(_xlpm.v_cant, ABS(L14), _xlpm.v_fecha, I14, _xlpm.v_ticker, B14, _xlpm.rango_f, I15:I$1000, _xlpm.rango_t, L15:L$1000, _xlpm.filtro, B15:B$1000=_xlpm.v_ticker, _xlpm.c_fechas, _xlfn._xlws.FILTER(_xlpm.rango_f, _xlpm.filtro*(_xlpm.rango_t&gt;0), _xlpm.v_fecha), _xlpm.c_cants, _xlfn._xlws.FILTER(_xlpm.rango_t, _xlpm.filtro*(_xlpm.rango_t&gt;0), 0), _xlpm.v_acums_pasadas, ABS(SUMIFS(L15:L$1000, B15:B$1000, _xlpm.v_ticker, L15:L$1000,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14" s="11"/>
    </row>
    <row r="15" spans="1:23" x14ac:dyDescent="0.45">
      <c r="A15" s="3" t="s">
        <v>222</v>
      </c>
      <c r="B15" s="3" t="s">
        <v>288</v>
      </c>
      <c r="D15" s="3">
        <v>1</v>
      </c>
      <c r="E15" s="3">
        <v>9.35</v>
      </c>
      <c r="F15" s="3">
        <v>935</v>
      </c>
      <c r="G15" s="3" t="s">
        <v>297</v>
      </c>
      <c r="I15" s="14">
        <f>IFERROR(DATE(MID(G15, FIND(",", G15)+2, 4), MATCH(LEFT(G15, 3), {"Jan","Feb","Mar","Apr","May","Jun","Jul","Aug","Sep","Oct","Nov","Dec"}, 0), MID(G15, 5, FIND(",", G15)-5)) + VALUE(MID(G15, FIND(":", G15)-2, 8)),I16)</f>
        <v>45981.550868055558</v>
      </c>
      <c r="J15" s="60" t="str" cm="1">
        <f t="array" ref="J15">IF(OR(ISNUMBER(SEARCH("C",B15)),ISNUMBER(SEARCH("P",B15))),IF(ISNUMBER(SEARCH("C",B15)),"Call","Put"),IF(AND(E15&lt;&gt;0,OR(C15="option exercised",C15="option assigned"),A15="buy"),_xlfn._xlws.FILTER(B$2:B$100,(LEFT(B$2:B$100,LEN(B15))=B15)*(LEN(B$2:B$100)&gt;LEN(B15))*(K$2:K$100=E15)*(I$2:I$100=I15)*(C$2:C$100=C15)*((C15="option assigned")*(ISNUMBER(SEARCH("P",B$2:B$100)))+(C15="option exercised")*(ISNUMBER(SEARCH("C",B$2:B$100)))),""),""))</f>
        <v>Call</v>
      </c>
      <c r="K15" s="9">
        <f t="shared" si="1"/>
        <v>242</v>
      </c>
      <c r="L15" s="5">
        <f t="shared" si="0"/>
        <v>-1</v>
      </c>
      <c r="M15" s="5">
        <f>SUMIF(B15:B$88,B15,L15:L$88)</f>
        <v>-1</v>
      </c>
      <c r="N15" s="9">
        <v>18.355</v>
      </c>
      <c r="O15" s="10" cm="1">
        <f t="array" ref="O15">IF(F15=0,_xlfn.XLOOKUP(B15,B16:B$89,O16:O$89,0,0,1),IF(_xlfn.XLOOKUP(B15,B16:B$89,M16:M$89,1,0,1)=0,IF(M15&gt;0,(F15+H15)*N15/M15,(F15-H15)*N15/-M15),IF(M15&gt;0,IF(M15&gt;_xlfn.XLOOKUP(B15,B16:B$89,M16:M$89,0,0,1),(_xlfn.XLOOKUP(B15,B16:B$89,O16:O$89,0,0,1)*_xlfn.XLOOKUP(B15,B16:B$89,M16:M$89,0,0,1)+(F15+H15)*N15+IF(_xlfn.XLOOKUP(J15,B16:B$89,J16:J$89,0,0,1)="put",-_xlfn.XLOOKUP(J15,B16:B$89,O16:O$89,0,0,1)*L15/100,_xlfn.XLOOKUP(J15,B16:B$89,O16:O$89,0,0,1)*L15/100))/M15,_xlfn.XLOOKUP(B15,B16:B$89,O16:O$89,,0,1)),IF(M15&lt;0,IF(M15&lt;_xlfn.XLOOKUP(B15,B16:B$89,M16:M$89,0,0,1),(_xlfn.XLOOKUP(B15,B16:B$89,O16:O$89,0,0,1)*_xlfn.XLOOKUP(B15,B16:B$89,M16:M$89,0,0,1)-(F15-H15)*N15)/M15,_xlfn.XLOOKUP(B15,B16:B$89,O15:O$88,,0,1)),0))))</f>
        <v>17161.924999999999</v>
      </c>
      <c r="P15" s="10" cm="1">
        <f t="array" ref="P15">IF(_xlfn.XLOOKUP(B15,J$2:J15,J$2:J15,0,0,-1)=B15,0,IF(G15="",-H15*N15,IFERROR(IF(_xlfn.XLOOKUP(B15,B16:B$89,M16:M$89,,0,1)&lt;0,IF(M15&gt;_xlfn.XLOOKUP(B15,B16:B$89,M16:M$89,,0,1),L15*_xlfn.XLOOKUP(B15,B16:B$89,O16:O$89,,0,1)+(-F15-H15)*N15,0),IF(_xlfn.XLOOKUP(B15,B16:B$89,M16:M$89,,0,1)&gt;0,IF(M15&lt;_xlfn.XLOOKUP(B15,B16:B$89,M16:M$89,,0,1),(F15-H15)*N15-_xlfn.XLOOKUP(B15,B16:B$89,O16:O$89,,0,1)*-L15,0),0)),0)))</f>
        <v>0</v>
      </c>
      <c r="Q15" s="56">
        <v>142.64500000000001</v>
      </c>
      <c r="R15" s="56">
        <v>141.708</v>
      </c>
      <c r="S15" s="10" cm="1">
        <f t="array" ref="S15">IF(F15=0,_xlfn.XLOOKUP(B15,B16:B$89,S16:S$89,0,0,1),IF(_xlfn.XLOOKUP(B15,B16:B$89,M16:M$89,1,0,1)=0,IF(M15&gt;0,(F15+H15)*N15/M15,(F15-H15)*N15/-M15),IF(M15&gt;0,IF(M15&gt;_xlfn.XLOOKUP(B15,B16:B$89,M16:M$89,0,0,1),(_xlfn.XLOOKUP(B15,B16:B$89,S16:S$89,0,0,1)*MAX(1,Q15/_xlfn.XLOOKUP(B15,B16:B$89,Q16:Q$89,Q15,0,1))*_xlfn.XLOOKUP(B15,B16:B$89,M16:M$89,0,0,1)+(F15+H15)*N15+IF(_xlfn.XLOOKUP(J15,B16:B$89,J16:J$89,0,0,1)="put",-_xlfn.XLOOKUP(J15,B16:B$89,S16:S$89,0,0,1)*L15/100,_xlfn.XLOOKUP(J15,B16:B$89,S16:S$89,0,0,1)*L15/100))/M15,_xlfn.XLOOKUP(B15,B16:B$89,S16:S$89,,0,1)*MAX(1,Q15/_xlfn.XLOOKUP(B15,B16:B$89,Q16:Q$89,Q15,0,1))),IF(M15&lt;0,IF(M15&lt;_xlfn.XLOOKUP(B15,B16:B$89,M16:M$89,0,0,1),(_xlfn.XLOOKUP(B15,B16:B$89,S16:S$89,0,0,1)*_xlfn.XLOOKUP(B15,B16:B$89,M16:M$89,0,0,1)-(F15-H15)*N15)/M15,_xlfn.XLOOKUP(B15,B16:B$89,S16:S$89,,0,1)),0))))</f>
        <v>17161.924999999999</v>
      </c>
      <c r="T15" s="59" cm="1">
        <f t="array" ref="T15">IF(_xlfn.XLOOKUP(B15,J$2:J15,J$2:J15,0,0,-1)=B15,0,IF(G15="",-H15*N15,IFERROR(IF(_xlfn.XLOOKUP(B15,B16:B$89,M16:M$89,,0,1)&lt;0,IF(M15&gt;_xlfn.XLOOKUP(B15,B16:B$89,M16:M$89,,0,1),L15*_xlfn.XLOOKUP(B15,B16:B$89,S16:S$89,,0,1)+(-F15-H15)*N15,0),IF(_xlfn.XLOOKUP(B15,B16:B$89,M16:M$89,,0,1)&gt;0,IF(M15&lt;_xlfn.XLOOKUP(B15,B16:B$89,M16:M$89,,0,1),(F15-H15)*N15-_xlfn.XLOOKUP(B15,B16:B$89,S16:S$89,,0,1)*-L15*MAX(1,R15/_xlfn.XLOOKUP(B15,B16:B$89,Q16:Q$89,R15,0,1)),0),0)),0)))</f>
        <v>0</v>
      </c>
      <c r="U15" s="56" t="str" cm="1">
        <f t="array" ref="U15">IF(AND(OR(J15="call",J15="put"),T15&lt;&gt;0),1,IF(T15=0,"-",IF(L15&lt;0, _xlfn.LET(_xlpm.v_cant, ABS(L15), _xlpm.v_fecha, I15, _xlpm.v_ticker, B15, _xlpm.rango_f, I16:I$1000, _xlpm.rango_t, L16:L$1000, _xlpm.filtro, B16:B$1000=_xlpm.v_ticker, _xlpm.c_fechas, _xlfn._xlws.FILTER(_xlpm.rango_f, _xlpm.filtro*(_xlpm.rango_t&gt;0), _xlpm.v_fecha), _xlpm.c_cants, _xlfn._xlws.FILTER(_xlpm.rango_t, _xlpm.filtro*(_xlpm.rango_t&gt;0), 0), _xlpm.v_acums_pasadas, ABS(SUMIFS(L16:L$1000, B16:B$1000, _xlpm.v_ticker, L16:L$1000,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15" s="11"/>
    </row>
    <row r="16" spans="1:23" x14ac:dyDescent="0.45">
      <c r="A16" s="3" t="s">
        <v>224</v>
      </c>
      <c r="B16" s="3" t="s">
        <v>290</v>
      </c>
      <c r="D16" s="3">
        <v>1</v>
      </c>
      <c r="E16" s="3">
        <v>6.85</v>
      </c>
      <c r="F16" s="3">
        <v>685</v>
      </c>
      <c r="G16" s="3" t="s">
        <v>297</v>
      </c>
      <c r="I16" s="14">
        <f>IFERROR(DATE(MID(G16, FIND(",", G16)+2, 4), MATCH(LEFT(G16, 3), {"Jan","Feb","Mar","Apr","May","Jun","Jul","Aug","Sep","Oct","Nov","Dec"}, 0), MID(G16, 5, FIND(",", G16)-5)) + VALUE(MID(G16, FIND(":", G16)-2, 8)),I17)</f>
        <v>45981.550868055558</v>
      </c>
      <c r="J16" s="60" t="str" cm="1">
        <f t="array" ref="J16">IF(OR(ISNUMBER(SEARCH("C",B16)),ISNUMBER(SEARCH("P",B16))),IF(ISNUMBER(SEARCH("C",B16)),"Call","Put"),IF(AND(E16&lt;&gt;0,OR(C16="option exercised",C16="option assigned"),A16="buy"),_xlfn._xlws.FILTER(B$2:B$100,(LEFT(B$2:B$100,LEN(B16))=B16)*(LEN(B$2:B$100)&gt;LEN(B16))*(K$2:K$100=E16)*(I$2:I$100=I16)*(C$2:C$100=C16)*((C16="option assigned")*(ISNUMBER(SEARCH("P",B$2:B$100)))+(C16="option exercised")*(ISNUMBER(SEARCH("C",B$2:B$100)))),""),""))</f>
        <v>Call</v>
      </c>
      <c r="K16" s="9">
        <f t="shared" si="1"/>
        <v>246</v>
      </c>
      <c r="L16" s="5">
        <f t="shared" si="0"/>
        <v>1</v>
      </c>
      <c r="M16" s="5">
        <f>SUMIF(B16:B$88,B16,L16:L$88)</f>
        <v>1</v>
      </c>
      <c r="N16" s="9">
        <v>18.355</v>
      </c>
      <c r="O16" s="10" cm="1">
        <f t="array" ref="O16">IF(F16=0,_xlfn.XLOOKUP(B16,B17:B$89,O17:O$89,0,0,1),IF(_xlfn.XLOOKUP(B16,B17:B$89,M17:M$89,1,0,1)=0,IF(M16&gt;0,(F16+H16)*N16/M16,(F16-H16)*N16/-M16),IF(M16&gt;0,IF(M16&gt;_xlfn.XLOOKUP(B16,B17:B$89,M17:M$89,0,0,1),(_xlfn.XLOOKUP(B16,B17:B$89,O17:O$89,0,0,1)*_xlfn.XLOOKUP(B16,B17:B$89,M17:M$89,0,0,1)+(F16+H16)*N16+IF(_xlfn.XLOOKUP(J16,B17:B$89,J17:J$89,0,0,1)="put",-_xlfn.XLOOKUP(J16,B17:B$89,O17:O$89,0,0,1)*L16/100,_xlfn.XLOOKUP(J16,B17:B$89,O17:O$89,0,0,1)*L16/100))/M16,_xlfn.XLOOKUP(B16,B17:B$89,O17:O$89,,0,1)),IF(M16&lt;0,IF(M16&lt;_xlfn.XLOOKUP(B16,B17:B$89,M17:M$89,0,0,1),(_xlfn.XLOOKUP(B16,B17:B$89,O17:O$89,0,0,1)*_xlfn.XLOOKUP(B16,B17:B$89,M17:M$89,0,0,1)-(F16-H16)*N16)/M16,_xlfn.XLOOKUP(B16,B17:B$89,O16:O$88,,0,1)),0))))</f>
        <v>12573.175000000001</v>
      </c>
      <c r="P16" s="10" cm="1">
        <f t="array" ref="P16">IF(_xlfn.XLOOKUP(B16,J$2:J16,J$2:J16,0,0,-1)=B16,0,IF(G16="",-H16*N16,IFERROR(IF(_xlfn.XLOOKUP(B16,B17:B$89,M17:M$89,,0,1)&lt;0,IF(M16&gt;_xlfn.XLOOKUP(B16,B17:B$89,M17:M$89,,0,1),L16*_xlfn.XLOOKUP(B16,B17:B$89,O17:O$89,,0,1)+(-F16-H16)*N16,0),IF(_xlfn.XLOOKUP(B16,B17:B$89,M17:M$89,,0,1)&gt;0,IF(M16&lt;_xlfn.XLOOKUP(B16,B17:B$89,M17:M$89,,0,1),(F16-H16)*N16-_xlfn.XLOOKUP(B16,B17:B$89,O17:O$89,,0,1)*-L16,0),0)),0)))</f>
        <v>0</v>
      </c>
      <c r="Q16" s="56">
        <v>142.64500000000001</v>
      </c>
      <c r="R16" s="56">
        <v>141.708</v>
      </c>
      <c r="S16" s="10" cm="1">
        <f t="array" ref="S16">IF(F16=0,_xlfn.XLOOKUP(B16,B17:B$89,S17:S$89,0,0,1),IF(_xlfn.XLOOKUP(B16,B17:B$89,M17:M$89,1,0,1)=0,IF(M16&gt;0,(F16+H16)*N16/M16,(F16-H16)*N16/-M16),IF(M16&gt;0,IF(M16&gt;_xlfn.XLOOKUP(B16,B17:B$89,M17:M$89,0,0,1),(_xlfn.XLOOKUP(B16,B17:B$89,S17:S$89,0,0,1)*MAX(1,Q16/_xlfn.XLOOKUP(B16,B17:B$89,Q17:Q$89,Q16,0,1))*_xlfn.XLOOKUP(B16,B17:B$89,M17:M$89,0,0,1)+(F16+H16)*N16+IF(_xlfn.XLOOKUP(J16,B17:B$89,J17:J$89,0,0,1)="put",-_xlfn.XLOOKUP(J16,B17:B$89,S17:S$89,0,0,1)*L16/100,_xlfn.XLOOKUP(J16,B17:B$89,S17:S$89,0,0,1)*L16/100))/M16,_xlfn.XLOOKUP(B16,B17:B$89,S17:S$89,,0,1)*MAX(1,Q16/_xlfn.XLOOKUP(B16,B17:B$89,Q17:Q$89,Q16,0,1))),IF(M16&lt;0,IF(M16&lt;_xlfn.XLOOKUP(B16,B17:B$89,M17:M$89,0,0,1),(_xlfn.XLOOKUP(B16,B17:B$89,S17:S$89,0,0,1)*_xlfn.XLOOKUP(B16,B17:B$89,M17:M$89,0,0,1)-(F16-H16)*N16)/M16,_xlfn.XLOOKUP(B16,B17:B$89,S17:S$89,,0,1)),0))))</f>
        <v>12573.175000000001</v>
      </c>
      <c r="T16" s="59" cm="1">
        <f t="array" ref="T16">IF(_xlfn.XLOOKUP(B16,J$2:J16,J$2:J16,0,0,-1)=B16,0,IF(G16="",-H16*N16,IFERROR(IF(_xlfn.XLOOKUP(B16,B17:B$89,M17:M$89,,0,1)&lt;0,IF(M16&gt;_xlfn.XLOOKUP(B16,B17:B$89,M17:M$89,,0,1),L16*_xlfn.XLOOKUP(B16,B17:B$89,S17:S$89,,0,1)+(-F16-H16)*N16,0),IF(_xlfn.XLOOKUP(B16,B17:B$89,M17:M$89,,0,1)&gt;0,IF(M16&lt;_xlfn.XLOOKUP(B16,B17:B$89,M17:M$89,,0,1),(F16-H16)*N16-_xlfn.XLOOKUP(B16,B17:B$89,S17:S$89,,0,1)*-L16*MAX(1,R16/_xlfn.XLOOKUP(B16,B17:B$89,Q17:Q$89,R16,0,1)),0),0)),0)))</f>
        <v>0</v>
      </c>
      <c r="U16" s="56" t="str" cm="1">
        <f t="array" ref="U16">IF(AND(OR(J16="call",J16="put"),T16&lt;&gt;0),1,IF(T16=0,"-",IF(L16&lt;0, _xlfn.LET(_xlpm.v_cant, ABS(L16), _xlpm.v_fecha, I16, _xlpm.v_ticker, B16, _xlpm.rango_f, I17:I$1000, _xlpm.rango_t, L17:L$1000, _xlpm.filtro, B17:B$1000=_xlpm.v_ticker, _xlpm.c_fechas, _xlfn._xlws.FILTER(_xlpm.rango_f, _xlpm.filtro*(_xlpm.rango_t&gt;0), _xlpm.v_fecha), _xlpm.c_cants, _xlfn._xlws.FILTER(_xlpm.rango_t, _xlpm.filtro*(_xlpm.rango_t&gt;0), 0), _xlpm.v_acums_pasadas, ABS(SUMIFS(L17:L$1000, B17:B$1000, _xlpm.v_ticker, L17:L$1000,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16" s="11"/>
    </row>
    <row r="17" spans="1:22" x14ac:dyDescent="0.45">
      <c r="A17" s="3" t="s">
        <v>224</v>
      </c>
      <c r="B17" s="3" t="s">
        <v>280</v>
      </c>
      <c r="D17" s="3">
        <v>1</v>
      </c>
      <c r="E17" s="3">
        <v>0.4</v>
      </c>
      <c r="F17" s="3">
        <v>40</v>
      </c>
      <c r="G17" s="3" t="s">
        <v>298</v>
      </c>
      <c r="H17" s="3">
        <v>2.98</v>
      </c>
      <c r="I17" s="14">
        <f>IFERROR(DATE(MID(G17, FIND(",", G17)+2, 4), MATCH(LEFT(G17, 3), {"Jan","Feb","Mar","Apr","May","Jun","Jul","Aug","Sep","Oct","Nov","Dec"}, 0), MID(G17, 5, FIND(",", G17)-5)) + VALUE(MID(G17, FIND(":", G17)-2, 8)),I18)</f>
        <v>45967.663414351853</v>
      </c>
      <c r="J17" s="60" t="str" cm="1">
        <f t="array" ref="J17">IF(OR(ISNUMBER(SEARCH("C",B17)),ISNUMBER(SEARCH("P",B17))),IF(ISNUMBER(SEARCH("C",B17)),"Call","Put"),IF(AND(E17&lt;&gt;0,OR(C17="option exercised",C17="option assigned"),A17="buy"),_xlfn._xlws.FILTER(B$2:B$100,(LEFT(B$2:B$100,LEN(B17))=B17)*(LEN(B$2:B$100)&gt;LEN(B17))*(K$2:K$100=E17)*(I$2:I$100=I17)*(C$2:C$100=C17)*((C17="option assigned")*(ISNUMBER(SEARCH("P",B$2:B$100)))+(C17="option exercised")*(ISNUMBER(SEARCH("C",B$2:B$100)))),""),""))</f>
        <v>Call</v>
      </c>
      <c r="K17" s="9">
        <f t="shared" si="1"/>
        <v>1</v>
      </c>
      <c r="L17" s="5">
        <f t="shared" si="0"/>
        <v>1</v>
      </c>
      <c r="M17" s="5">
        <f>SUMIF(B17:B$88,B17,L17:L$88)</f>
        <v>2</v>
      </c>
      <c r="N17" s="9">
        <v>18.6233</v>
      </c>
      <c r="O17" s="10" cm="1">
        <f t="array" ref="O17">IF(F17=0,_xlfn.XLOOKUP(B17,B18:B$89,O18:O$89,0,0,1),IF(_xlfn.XLOOKUP(B17,B18:B$89,M18:M$89,1,0,1)=0,IF(M17&gt;0,(F17+H17)*N17/M17,(F17-H17)*N17/-M17),IF(M17&gt;0,IF(M17&gt;_xlfn.XLOOKUP(B17,B18:B$89,M18:M$89,0,0,1),(_xlfn.XLOOKUP(B17,B18:B$89,O18:O$89,0,0,1)*_xlfn.XLOOKUP(B17,B18:B$89,M18:M$89,0,0,1)+(F17+H17)*N17+IF(_xlfn.XLOOKUP(J17,B18:B$89,J18:J$89,0,0,1)="put",-_xlfn.XLOOKUP(J17,B18:B$89,O18:O$89,0,0,1)*L17/100,_xlfn.XLOOKUP(J17,B18:B$89,O18:O$89,0,0,1)*L17/100))/M17,_xlfn.XLOOKUP(B17,B18:B$89,O18:O$89,,0,1)),IF(M17&lt;0,IF(M17&lt;_xlfn.XLOOKUP(B17,B18:B$89,M18:M$89,0,0,1),(_xlfn.XLOOKUP(B17,B18:B$89,O18:O$89,0,0,1)*_xlfn.XLOOKUP(B17,B18:B$89,M18:M$89,0,0,1)-(F17-H17)*N17)/M17,_xlfn.XLOOKUP(B17,B18:B$89,O17:O$88,,0,1)),0))))</f>
        <v>1163.2745709999999</v>
      </c>
      <c r="P17" s="10" cm="1">
        <f t="array" ref="P17">IF(_xlfn.XLOOKUP(B17,J$2:J17,J$2:J17,0,0,-1)=B17,0,IF(G17="",-H17*N17,IFERROR(IF(_xlfn.XLOOKUP(B17,B18:B$89,M18:M$89,,0,1)&lt;0,IF(M17&gt;_xlfn.XLOOKUP(B17,B18:B$89,M18:M$89,,0,1),L17*_xlfn.XLOOKUP(B17,B18:B$89,O18:O$89,,0,1)+(-F17-H17)*N17,0),IF(_xlfn.XLOOKUP(B17,B18:B$89,M18:M$89,,0,1)&gt;0,IF(M17&lt;_xlfn.XLOOKUP(B17,B18:B$89,M18:M$89,,0,1),(F17-H17)*N17-_xlfn.XLOOKUP(B17,B18:B$89,O18:O$89,,0,1)*-L17,0),0)),0)))</f>
        <v>0</v>
      </c>
      <c r="Q17" s="56">
        <v>142.64500000000001</v>
      </c>
      <c r="R17" s="56">
        <v>141.708</v>
      </c>
      <c r="S17" s="10" cm="1">
        <f t="array" ref="S17">IF(F17=0,_xlfn.XLOOKUP(B17,B18:B$89,S18:S$89,0,0,1),IF(_xlfn.XLOOKUP(B17,B18:B$89,M18:M$89,1,0,1)=0,IF(M17&gt;0,(F17+H17)*N17/M17,(F17-H17)*N17/-M17),IF(M17&gt;0,IF(M17&gt;_xlfn.XLOOKUP(B17,B18:B$89,M18:M$89,0,0,1),(_xlfn.XLOOKUP(B17,B18:B$89,S18:S$89,0,0,1)*MAX(1,Q17/_xlfn.XLOOKUP(B17,B18:B$89,Q18:Q$89,Q17,0,1))*_xlfn.XLOOKUP(B17,B18:B$89,M18:M$89,0,0,1)+(F17+H17)*N17+IF(_xlfn.XLOOKUP(J17,B18:B$89,J18:J$89,0,0,1)="put",-_xlfn.XLOOKUP(J17,B18:B$89,S18:S$89,0,0,1)*L17/100,_xlfn.XLOOKUP(J17,B18:B$89,S18:S$89,0,0,1)*L17/100))/M17,_xlfn.XLOOKUP(B17,B18:B$89,S18:S$89,,0,1)*MAX(1,Q17/_xlfn.XLOOKUP(B17,B18:B$89,Q18:Q$89,Q17,0,1))),IF(M17&lt;0,IF(M17&lt;_xlfn.XLOOKUP(B17,B18:B$89,M18:M$89,0,0,1),(_xlfn.XLOOKUP(B17,B18:B$89,S18:S$89,0,0,1)*_xlfn.XLOOKUP(B17,B18:B$89,M18:M$89,0,0,1)-(F17-H17)*N17)/M17,_xlfn.XLOOKUP(B17,B18:B$89,S18:S$89,,0,1)),0))))</f>
        <v>1168.3200665485788</v>
      </c>
      <c r="T17" s="59" cm="1">
        <f t="array" ref="T17">IF(_xlfn.XLOOKUP(B17,J$2:J17,J$2:J17,0,0,-1)=B17,0,IF(G17="",-H17*N17,IFERROR(IF(_xlfn.XLOOKUP(B17,B18:B$89,M18:M$89,,0,1)&lt;0,IF(M17&gt;_xlfn.XLOOKUP(B17,B18:B$89,M18:M$89,,0,1),L17*_xlfn.XLOOKUP(B17,B18:B$89,S18:S$89,,0,1)+(-F17-H17)*N17,0),IF(_xlfn.XLOOKUP(B17,B18:B$89,M18:M$89,,0,1)&gt;0,IF(M17&lt;_xlfn.XLOOKUP(B17,B18:B$89,M18:M$89,,0,1),(F17-H17)*N17-_xlfn.XLOOKUP(B17,B18:B$89,S18:S$89,,0,1)*-L17*MAX(1,R17/_xlfn.XLOOKUP(B17,B18:B$89,Q18:Q$89,R17,0,1)),0),0)),0)))</f>
        <v>0</v>
      </c>
      <c r="U17" s="56" t="str" cm="1">
        <f t="array" ref="U17">IF(AND(OR(J17="call",J17="put"),T17&lt;&gt;0),1,IF(T17=0,"-",IF(L17&lt;0, _xlfn.LET(_xlpm.v_cant, ABS(L17), _xlpm.v_fecha, I17, _xlpm.v_ticker, B17, _xlpm.rango_f, I18:I$1000, _xlpm.rango_t, L18:L$1000, _xlpm.filtro, B18:B$1000=_xlpm.v_ticker, _xlpm.c_fechas, _xlfn._xlws.FILTER(_xlpm.rango_f, _xlpm.filtro*(_xlpm.rango_t&gt;0), _xlpm.v_fecha), _xlpm.c_cants, _xlfn._xlws.FILTER(_xlpm.rango_t, _xlpm.filtro*(_xlpm.rango_t&gt;0), 0), _xlpm.v_acums_pasadas, ABS(SUMIFS(L18:L$1000, B18:B$1000, _xlpm.v_ticker, L18:L$1000,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17" s="11"/>
    </row>
    <row r="18" spans="1:22" x14ac:dyDescent="0.45">
      <c r="A18" s="3" t="s">
        <v>222</v>
      </c>
      <c r="B18" s="3" t="s">
        <v>299</v>
      </c>
      <c r="D18" s="3">
        <v>1</v>
      </c>
      <c r="E18" s="3">
        <v>1.1499999999999999</v>
      </c>
      <c r="F18" s="3">
        <v>115</v>
      </c>
      <c r="G18" s="3" t="s">
        <v>300</v>
      </c>
      <c r="H18" s="3">
        <v>3</v>
      </c>
      <c r="I18" s="14">
        <f>IFERROR(DATE(MID(G18, FIND(",", G18)+2, 4), MATCH(LEFT(G18, 3), {"Jan","Feb","Mar","Apr","May","Jun","Jul","Aug","Sep","Oct","Nov","Dec"}, 0), MID(G18, 5, FIND(",", G18)-5)) + VALUE(MID(G18, FIND(":", G18)-2, 8)),I19)</f>
        <v>45961.625497685185</v>
      </c>
      <c r="J18" s="60" t="str" cm="1">
        <f t="array" ref="J18">IF(OR(ISNUMBER(SEARCH("C",B18)),ISNUMBER(SEARCH("P",B18))),IF(ISNUMBER(SEARCH("C",B18)),"Call","Put"),IF(AND(E18&lt;&gt;0,OR(C18="option exercised",C18="option assigned"),A18="buy"),_xlfn._xlws.FILTER(B$2:B$100,(LEFT(B$2:B$100,LEN(B18))=B18)*(LEN(B$2:B$100)&gt;LEN(B18))*(K$2:K$100=E18)*(I$2:I$100=I18)*(C$2:C$100=C18)*((C18="option assigned")*(ISNUMBER(SEARCH("P",B$2:B$100)))+(C18="option exercised")*(ISNUMBER(SEARCH("C",B$2:B$100)))),""),""))</f>
        <v>Call</v>
      </c>
      <c r="K18" s="9">
        <f t="shared" si="1"/>
        <v>11</v>
      </c>
      <c r="L18" s="5">
        <f t="shared" si="0"/>
        <v>-1</v>
      </c>
      <c r="M18" s="5">
        <f>SUMIF(B18:B$88,B18,L18:L$88)</f>
        <v>0</v>
      </c>
      <c r="N18" s="9">
        <v>18.572500000000002</v>
      </c>
      <c r="O18" s="10" cm="1">
        <f t="array" ref="O18">IF(F18=0,_xlfn.XLOOKUP(B18,B19:B$89,O19:O$89,0,0,1),IF(_xlfn.XLOOKUP(B18,B19:B$89,M19:M$89,1,0,1)=0,IF(M18&gt;0,(F18+H18)*N18/M18,(F18-H18)*N18/-M18),IF(M18&gt;0,IF(M18&gt;_xlfn.XLOOKUP(B18,B19:B$89,M19:M$89,0,0,1),(_xlfn.XLOOKUP(B18,B19:B$89,O19:O$89,0,0,1)*_xlfn.XLOOKUP(B18,B19:B$89,M19:M$89,0,0,1)+(F18+H18)*N18+IF(_xlfn.XLOOKUP(J18,B19:B$89,J19:J$89,0,0,1)="put",-_xlfn.XLOOKUP(J18,B19:B$89,O19:O$89,0,0,1)*L18/100,_xlfn.XLOOKUP(J18,B19:B$89,O19:O$89,0,0,1)*L18/100))/M18,_xlfn.XLOOKUP(B18,B19:B$89,O19:O$89,,0,1)),IF(M18&lt;0,IF(M18&lt;_xlfn.XLOOKUP(B18,B19:B$89,M19:M$89,0,0,1),(_xlfn.XLOOKUP(B18,B19:B$89,O19:O$89,0,0,1)*_xlfn.XLOOKUP(B18,B19:B$89,M19:M$89,0,0,1)-(F18-H18)*N18)/M18,_xlfn.XLOOKUP(B18,B19:B$89,O18:O$88,,0,1)),0))))</f>
        <v>0</v>
      </c>
      <c r="P18" s="10" cm="1">
        <f t="array" ref="P18">IF(_xlfn.XLOOKUP(B18,J$2:J18,J$2:J18,0,0,-1)=B18,0,IF(G18="",-H18*N18,IFERROR(IF(_xlfn.XLOOKUP(B18,B19:B$89,M19:M$89,,0,1)&lt;0,IF(M18&gt;_xlfn.XLOOKUP(B18,B19:B$89,M19:M$89,,0,1),L18*_xlfn.XLOOKUP(B18,B19:B$89,O19:O$89,,0,1)+(-F18-H18)*N18,0),IF(_xlfn.XLOOKUP(B18,B19:B$89,M19:M$89,,0,1)&gt;0,IF(M18&lt;_xlfn.XLOOKUP(B18,B19:B$89,M19:M$89,,0,1),(F18-H18)*N18-_xlfn.XLOOKUP(B18,B19:B$89,O19:O$89,,0,1)*-L18,0),0)),0)))</f>
        <v>1178.3022820000001</v>
      </c>
      <c r="Q18" s="56">
        <v>141.708</v>
      </c>
      <c r="R18" s="56">
        <v>141.197</v>
      </c>
      <c r="S18" s="10" cm="1">
        <f t="array" ref="S18">IF(F18=0,_xlfn.XLOOKUP(B18,B19:B$89,S19:S$89,0,0,1),IF(_xlfn.XLOOKUP(B18,B19:B$89,M19:M$89,1,0,1)=0,IF(M18&gt;0,(F18+H18)*N18/M18,(F18-H18)*N18/-M18),IF(M18&gt;0,IF(M18&gt;_xlfn.XLOOKUP(B18,B19:B$89,M19:M$89,0,0,1),(_xlfn.XLOOKUP(B18,B19:B$89,S19:S$89,0,0,1)*MAX(1,Q18/_xlfn.XLOOKUP(B18,B19:B$89,Q19:Q$89,Q18,0,1))*_xlfn.XLOOKUP(B18,B19:B$89,M19:M$89,0,0,1)+(F18+H18)*N18+IF(_xlfn.XLOOKUP(J18,B19:B$89,J19:J$89,0,0,1)="put",-_xlfn.XLOOKUP(J18,B19:B$89,S19:S$89,0,0,1)*L18/100,_xlfn.XLOOKUP(J18,B19:B$89,S19:S$89,0,0,1)*L18/100))/M18,_xlfn.XLOOKUP(B18,B19:B$89,S19:S$89,,0,1)*MAX(1,Q18/_xlfn.XLOOKUP(B18,B19:B$89,Q19:Q$89,Q18,0,1))),IF(M18&lt;0,IF(M18&lt;_xlfn.XLOOKUP(B18,B19:B$89,M19:M$89,0,0,1),(_xlfn.XLOOKUP(B18,B19:B$89,S19:S$89,0,0,1)*_xlfn.XLOOKUP(B18,B19:B$89,M19:M$89,0,0,1)-(F18-H18)*N18)/M18,_xlfn.XLOOKUP(B18,B19:B$89,S19:S$89,,0,1)),0))))</f>
        <v>0</v>
      </c>
      <c r="T18" s="59" cm="1">
        <f t="array" ref="T18">IF(_xlfn.XLOOKUP(B18,J$2:J18,J$2:J18,0,0,-1)=B18,0,IF(G18="",-H18*N18,IFERROR(IF(_xlfn.XLOOKUP(B18,B19:B$89,M19:M$89,,0,1)&lt;0,IF(M18&gt;_xlfn.XLOOKUP(B18,B19:B$89,M19:M$89,,0,1),L18*_xlfn.XLOOKUP(B18,B19:B$89,S19:S$89,,0,1)+(-F18-H18)*N18,0),IF(_xlfn.XLOOKUP(B18,B19:B$89,M19:M$89,,0,1)&gt;0,IF(M18&lt;_xlfn.XLOOKUP(B18,B19:B$89,M19:M$89,,0,1),(F18-H18)*N18-_xlfn.XLOOKUP(B18,B19:B$89,S19:S$89,,0,1)*-L18*MAX(1,R18/_xlfn.XLOOKUP(B18,B19:B$89,Q19:Q$89,R18,0,1)),0),0)),0)))</f>
        <v>1178.3022820000001</v>
      </c>
      <c r="U18" s="56" cm="1">
        <f t="array" ref="U18">IF(AND(OR(J18="call",J18="put"),T18&lt;&gt;0),1,IF(T18=0,"-",IF(L18&lt;0, _xlfn.LET(_xlpm.v_cant, ABS(L18), _xlpm.v_fecha, I18, _xlpm.v_ticker, B18, _xlpm.rango_f, I19:I$1000, _xlpm.rango_t, L19:L$1000, _xlpm.filtro, B19:B$1000=_xlpm.v_ticker, _xlpm.c_fechas, _xlfn._xlws.FILTER(_xlpm.rango_f, _xlpm.filtro*(_xlpm.rango_t&gt;0), _xlpm.v_fecha), _xlpm.c_cants, _xlfn._xlws.FILTER(_xlpm.rango_t, _xlpm.filtro*(_xlpm.rango_t&gt;0), 0), _xlpm.v_acums_pasadas, ABS(SUMIFS(L19:L$1000, B19:B$1000, _xlpm.v_ticker, L19:L$1000,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18" s="11"/>
    </row>
    <row r="19" spans="1:22" x14ac:dyDescent="0.45">
      <c r="A19" s="3" t="s">
        <v>224</v>
      </c>
      <c r="B19" s="3" t="s">
        <v>280</v>
      </c>
      <c r="D19" s="3">
        <v>1</v>
      </c>
      <c r="E19" s="3">
        <v>0.8</v>
      </c>
      <c r="F19" s="3">
        <v>80</v>
      </c>
      <c r="G19" s="3" t="s">
        <v>301</v>
      </c>
      <c r="H19" s="3">
        <v>2.99</v>
      </c>
      <c r="I19" s="14">
        <f>IFERROR(DATE(MID(G19, FIND(",", G19)+2, 4), MATCH(LEFT(G19, 3), {"Jan","Feb","Mar","Apr","May","Jun","Jul","Aug","Sep","Oct","Nov","Dec"}, 0), MID(G19, 5, FIND(",", G19)-5)) + VALUE(MID(G19, FIND(":", G19)-2, 8)),I20)</f>
        <v>45957.55572916667</v>
      </c>
      <c r="J19" s="60" t="str" cm="1">
        <f t="array" ref="J19">IF(OR(ISNUMBER(SEARCH("C",B19)),ISNUMBER(SEARCH("P",B19))),IF(ISNUMBER(SEARCH("C",B19)),"Call","Put"),IF(AND(E19&lt;&gt;0,OR(C19="option exercised",C19="option assigned"),A19="buy"),_xlfn._xlws.FILTER(B$2:B$100,(LEFT(B$2:B$100,LEN(B19))=B19)*(LEN(B$2:B$100)&gt;LEN(B19))*(K$2:K$100=E19)*(I$2:I$100=I19)*(C$2:C$100=C19)*((C19="option assigned")*(ISNUMBER(SEARCH("P",B$2:B$100)))+(C19="option exercised")*(ISNUMBER(SEARCH("C",B$2:B$100)))),""),""))</f>
        <v>Call</v>
      </c>
      <c r="K19" s="9">
        <f t="shared" si="1"/>
        <v>1</v>
      </c>
      <c r="L19" s="5">
        <f t="shared" si="0"/>
        <v>1</v>
      </c>
      <c r="M19" s="5">
        <f>SUMIF(B19:B$88,B19,L19:L$88)</f>
        <v>1</v>
      </c>
      <c r="N19" s="9">
        <v>18.389199999999999</v>
      </c>
      <c r="O19" s="10" cm="1">
        <f t="array" ref="O19">IF(F19=0,_xlfn.XLOOKUP(B19,B20:B$89,O20:O$89,0,0,1),IF(_xlfn.XLOOKUP(B19,B20:B$89,M20:M$89,1,0,1)=0,IF(M19&gt;0,(F19+H19)*N19/M19,(F19-H19)*N19/-M19),IF(M19&gt;0,IF(M19&gt;_xlfn.XLOOKUP(B19,B20:B$89,M20:M$89,0,0,1),(_xlfn.XLOOKUP(B19,B20:B$89,O20:O$89,0,0,1)*_xlfn.XLOOKUP(B19,B20:B$89,M20:M$89,0,0,1)+(F19+H19)*N19+IF(_xlfn.XLOOKUP(J19,B20:B$89,J20:J$89,0,0,1)="put",-_xlfn.XLOOKUP(J19,B20:B$89,O20:O$89,0,0,1)*L19/100,_xlfn.XLOOKUP(J19,B20:B$89,O20:O$89,0,0,1)*L19/100))/M19,_xlfn.XLOOKUP(B19,B20:B$89,O20:O$89,,0,1)),IF(M19&lt;0,IF(M19&lt;_xlfn.XLOOKUP(B19,B20:B$89,M20:M$89,0,0,1),(_xlfn.XLOOKUP(B19,B20:B$89,O20:O$89,0,0,1)*_xlfn.XLOOKUP(B19,B20:B$89,M20:M$89,0,0,1)-(F19-H19)*N19)/M19,_xlfn.XLOOKUP(B19,B20:B$89,O19:O$88,,0,1)),0))))</f>
        <v>1526.1197079999997</v>
      </c>
      <c r="P19" s="10" cm="1">
        <f t="array" ref="P19">IF(_xlfn.XLOOKUP(B19,J$2:J19,J$2:J19,0,0,-1)=B19,0,IF(G19="",-H19*N19,IFERROR(IF(_xlfn.XLOOKUP(B19,B20:B$89,M20:M$89,,0,1)&lt;0,IF(M19&gt;_xlfn.XLOOKUP(B19,B20:B$89,M20:M$89,,0,1),L19*_xlfn.XLOOKUP(B19,B20:B$89,O20:O$89,,0,1)+(-F19-H19)*N19,0),IF(_xlfn.XLOOKUP(B19,B20:B$89,M20:M$89,,0,1)&gt;0,IF(M19&lt;_xlfn.XLOOKUP(B19,B20:B$89,M20:M$89,,0,1),(F19-H19)*N19-_xlfn.XLOOKUP(B19,B20:B$89,O20:O$89,,0,1)*-L19,0),0)),0)))</f>
        <v>0</v>
      </c>
      <c r="Q19" s="56">
        <v>141.708</v>
      </c>
      <c r="R19" s="56">
        <v>141.197</v>
      </c>
      <c r="S19" s="10" cm="1">
        <f t="array" ref="S19">IF(F19=0,_xlfn.XLOOKUP(B19,B20:B$89,S20:S$89,0,0,1),IF(_xlfn.XLOOKUP(B19,B20:B$89,M20:M$89,1,0,1)=0,IF(M19&gt;0,(F19+H19)*N19/M19,(F19-H19)*N19/-M19),IF(M19&gt;0,IF(M19&gt;_xlfn.XLOOKUP(B19,B20:B$89,M20:M$89,0,0,1),(_xlfn.XLOOKUP(B19,B20:B$89,S20:S$89,0,0,1)*MAX(1,Q19/_xlfn.XLOOKUP(B19,B20:B$89,Q20:Q$89,Q19,0,1))*_xlfn.XLOOKUP(B19,B20:B$89,M20:M$89,0,0,1)+(F19+H19)*N19+IF(_xlfn.XLOOKUP(J19,B20:B$89,J20:J$89,0,0,1)="put",-_xlfn.XLOOKUP(J19,B20:B$89,S20:S$89,0,0,1)*L19/100,_xlfn.XLOOKUP(J19,B20:B$89,S20:S$89,0,0,1)*L19/100))/M19,_xlfn.XLOOKUP(B19,B20:B$89,S20:S$89,,0,1)*MAX(1,Q19/_xlfn.XLOOKUP(B19,B20:B$89,Q20:Q$89,Q19,0,1))),IF(M19&lt;0,IF(M19&lt;_xlfn.XLOOKUP(B19,B20:B$89,M20:M$89,0,0,1),(_xlfn.XLOOKUP(B19,B20:B$89,S20:S$89,0,0,1)*_xlfn.XLOOKUP(B19,B20:B$89,M20:M$89,0,0,1)-(F19-H19)*N19)/M19,_xlfn.XLOOKUP(B19,B20:B$89,S20:S$89,,0,1)),0))))</f>
        <v>1526.1197079999997</v>
      </c>
      <c r="T19" s="59" cm="1">
        <f t="array" ref="T19">IF(_xlfn.XLOOKUP(B19,J$2:J19,J$2:J19,0,0,-1)=B19,0,IF(G19="",-H19*N19,IFERROR(IF(_xlfn.XLOOKUP(B19,B20:B$89,M20:M$89,,0,1)&lt;0,IF(M19&gt;_xlfn.XLOOKUP(B19,B20:B$89,M20:M$89,,0,1),L19*_xlfn.XLOOKUP(B19,B20:B$89,S20:S$89,,0,1)+(-F19-H19)*N19,0),IF(_xlfn.XLOOKUP(B19,B20:B$89,M20:M$89,,0,1)&gt;0,IF(M19&lt;_xlfn.XLOOKUP(B19,B20:B$89,M20:M$89,,0,1),(F19-H19)*N19-_xlfn.XLOOKUP(B19,B20:B$89,S20:S$89,,0,1)*-L19*MAX(1,R19/_xlfn.XLOOKUP(B19,B20:B$89,Q20:Q$89,R19,0,1)),0),0)),0)))</f>
        <v>0</v>
      </c>
      <c r="U19" s="56" t="str" cm="1">
        <f t="array" ref="U19">IF(AND(OR(J19="call",J19="put"),T19&lt;&gt;0),1,IF(T19=0,"-",IF(L19&lt;0, _xlfn.LET(_xlpm.v_cant, ABS(L19), _xlpm.v_fecha, I19, _xlpm.v_ticker, B19, _xlpm.rango_f, I20:I$1000, _xlpm.rango_t, L20:L$1000, _xlpm.filtro, B20:B$1000=_xlpm.v_ticker, _xlpm.c_fechas, _xlfn._xlws.FILTER(_xlpm.rango_f, _xlpm.filtro*(_xlpm.rango_t&gt;0), _xlpm.v_fecha), _xlpm.c_cants, _xlfn._xlws.FILTER(_xlpm.rango_t, _xlpm.filtro*(_xlpm.rango_t&gt;0), 0), _xlpm.v_acums_pasadas, ABS(SUMIFS(L20:L$1000, B20:B$1000, _xlpm.v_ticker, L20:L$1000,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19" s="11"/>
    </row>
    <row r="20" spans="1:22" x14ac:dyDescent="0.45">
      <c r="A20" s="3" t="s">
        <v>222</v>
      </c>
      <c r="B20" s="3" t="s">
        <v>302</v>
      </c>
      <c r="C20" s="3" t="s">
        <v>533</v>
      </c>
      <c r="D20" s="3">
        <v>1</v>
      </c>
      <c r="E20" s="3">
        <v>0</v>
      </c>
      <c r="F20" s="3">
        <v>0</v>
      </c>
      <c r="G20" s="3" t="s">
        <v>303</v>
      </c>
      <c r="H20" s="3">
        <v>0</v>
      </c>
      <c r="I20" s="14">
        <f>IFERROR(DATE(MID(G20, FIND(",", G20)+2, 4), MATCH(LEFT(G20, 3), {"Jan","Feb","Mar","Apr","May","Jun","Jul","Aug","Sep","Oct","Nov","Dec"}, 0), MID(G20, 5, FIND(",", G20)-5)) + VALUE(MID(G20, FIND(":", G20)-2, 8)),I21)</f>
        <v>45950.090891203705</v>
      </c>
      <c r="J20" s="60" t="str" cm="1">
        <f t="array" ref="J20">IF(OR(ISNUMBER(SEARCH("C",B20)),ISNUMBER(SEARCH("P",B20))),IF(ISNUMBER(SEARCH("C",B20)),"Call","Put"),IF(AND(E20&lt;&gt;0,OR(C20="option exercised",C20="option assigned"),A20="buy"),_xlfn._xlws.FILTER(B$2:B$100,(LEFT(B$2:B$100,LEN(B20))=B20)*(LEN(B$2:B$100)&gt;LEN(B20))*(K$2:K$100=E20)*(I$2:I$100=I20)*(C$2:C$100=C20)*((C20="option assigned")*(ISNUMBER(SEARCH("P",B$2:B$100)))+(C20="option exercised")*(ISNUMBER(SEARCH("C",B$2:B$100)))),""),""))</f>
        <v>Call</v>
      </c>
      <c r="K20" s="9">
        <f t="shared" si="1"/>
        <v>11</v>
      </c>
      <c r="L20" s="5">
        <f t="shared" si="0"/>
        <v>-1</v>
      </c>
      <c r="M20" s="5">
        <f>SUMIF(B20:B$88,B20,L20:L$88)</f>
        <v>0</v>
      </c>
      <c r="N20" s="9">
        <v>18.403199999999998</v>
      </c>
      <c r="O20" s="10" cm="1">
        <f t="array" ref="O20">IF(F20=0,_xlfn.XLOOKUP(B20,B21:B$89,O21:O$89,0,0,1),IF(_xlfn.XLOOKUP(B20,B21:B$89,M21:M$89,1,0,1)=0,IF(M20&gt;0,(F20+H20)*N20/M20,(F20-H20)*N20/-M20),IF(M20&gt;0,IF(M20&gt;_xlfn.XLOOKUP(B20,B21:B$89,M21:M$89,0,0,1),(_xlfn.XLOOKUP(B20,B21:B$89,O21:O$89,0,0,1)*_xlfn.XLOOKUP(B20,B21:B$89,M21:M$89,0,0,1)+(F20+H20)*N20+IF(_xlfn.XLOOKUP(J20,B21:B$89,J21:J$89,0,0,1)="put",-_xlfn.XLOOKUP(J20,B21:B$89,O21:O$89,0,0,1)*L20/100,_xlfn.XLOOKUP(J20,B21:B$89,O21:O$89,0,0,1)*L20/100))/M20,_xlfn.XLOOKUP(B20,B21:B$89,O21:O$89,,0,1)),IF(M20&lt;0,IF(M20&lt;_xlfn.XLOOKUP(B20,B21:B$89,M21:M$89,0,0,1),(_xlfn.XLOOKUP(B20,B21:B$89,O21:O$89,0,0,1)*_xlfn.XLOOKUP(B20,B21:B$89,M21:M$89,0,0,1)-(F20-H20)*N20)/M20,_xlfn.XLOOKUP(B20,B21:B$89,O20:O$88,,0,1)),0))))</f>
        <v>3695.2669000000001</v>
      </c>
      <c r="P20" s="10" cm="1">
        <f t="array" ref="P20">IF(_xlfn.XLOOKUP(B20,J$2:J20,J$2:J20,0,0,-1)=B20,0,IF(G20="",-H20*N20,IFERROR(IF(_xlfn.XLOOKUP(B20,B21:B$89,M21:M$89,,0,1)&lt;0,IF(M20&gt;_xlfn.XLOOKUP(B20,B21:B$89,M21:M$89,,0,1),L20*_xlfn.XLOOKUP(B20,B21:B$89,O21:O$89,,0,1)+(-F20-H20)*N20,0),IF(_xlfn.XLOOKUP(B20,B21:B$89,M21:M$89,,0,1)&gt;0,IF(M20&lt;_xlfn.XLOOKUP(B20,B21:B$89,M21:M$89,,0,1),(F20-H20)*N20-_xlfn.XLOOKUP(B20,B21:B$89,O21:O$89,,0,1)*-L20,0),0)),0)))</f>
        <v>-3695.2669000000001</v>
      </c>
      <c r="Q20" s="56">
        <v>141.708</v>
      </c>
      <c r="R20" s="56">
        <v>141.197</v>
      </c>
      <c r="S20" s="10" cm="1">
        <f t="array" ref="S20">IF(F20=0,_xlfn.XLOOKUP(B20,B21:B$89,S21:S$89,0,0,1),IF(_xlfn.XLOOKUP(B20,B21:B$89,M21:M$89,1,0,1)=0,IF(M20&gt;0,(F20+H20)*N20/M20,(F20-H20)*N20/-M20),IF(M20&gt;0,IF(M20&gt;_xlfn.XLOOKUP(B20,B21:B$89,M21:M$89,0,0,1),(_xlfn.XLOOKUP(B20,B21:B$89,S21:S$89,0,0,1)*MAX(1,Q20/_xlfn.XLOOKUP(B20,B21:B$89,Q21:Q$89,Q20,0,1))*_xlfn.XLOOKUP(B20,B21:B$89,M21:M$89,0,0,1)+(F20+H20)*N20+IF(_xlfn.XLOOKUP(J20,B21:B$89,J21:J$89,0,0,1)="put",-_xlfn.XLOOKUP(J20,B21:B$89,S21:S$89,0,0,1)*L20/100,_xlfn.XLOOKUP(J20,B21:B$89,S21:S$89,0,0,1)*L20/100))/M20,_xlfn.XLOOKUP(B20,B21:B$89,S21:S$89,,0,1)*MAX(1,Q20/_xlfn.XLOOKUP(B20,B21:B$89,Q21:Q$89,Q20,0,1))),IF(M20&lt;0,IF(M20&lt;_xlfn.XLOOKUP(B20,B21:B$89,M21:M$89,0,0,1),(_xlfn.XLOOKUP(B20,B21:B$89,S21:S$89,0,0,1)*_xlfn.XLOOKUP(B20,B21:B$89,M21:M$89,0,0,1)-(F20-H20)*N20)/M20,_xlfn.XLOOKUP(B20,B21:B$89,S21:S$89,,0,1)),0))))</f>
        <v>3695.2669000000001</v>
      </c>
      <c r="T20" s="59" cm="1">
        <f t="array" ref="T20">IF(_xlfn.XLOOKUP(B20,J$2:J20,J$2:J20,0,0,-1)=B20,0,IF(G20="",-H20*N20,IFERROR(IF(_xlfn.XLOOKUP(B20,B21:B$89,M21:M$89,,0,1)&lt;0,IF(M20&gt;_xlfn.XLOOKUP(B20,B21:B$89,M21:M$89,,0,1),L20*_xlfn.XLOOKUP(B20,B21:B$89,S21:S$89,,0,1)+(-F20-H20)*N20,0),IF(_xlfn.XLOOKUP(B20,B21:B$89,M21:M$89,,0,1)&gt;0,IF(M20&lt;_xlfn.XLOOKUP(B20,B21:B$89,M21:M$89,,0,1),(F20-H20)*N20-_xlfn.XLOOKUP(B20,B21:B$89,S21:S$89,,0,1)*-L20*MAX(1,R20/_xlfn.XLOOKUP(B20,B21:B$89,Q21:Q$89,R20,0,1)),0),0)),0)))</f>
        <v>-3695.2669000000001</v>
      </c>
      <c r="U20" s="56" cm="1">
        <f t="array" ref="U20">IF(AND(OR(J20="call",J20="put"),T20&lt;&gt;0),1,IF(T20=0,"-",IF(L20&lt;0, _xlfn.LET(_xlpm.v_cant, ABS(L20), _xlpm.v_fecha, I20, _xlpm.v_ticker, B20, _xlpm.rango_f, I21:I$1000, _xlpm.rango_t, L21:L$1000, _xlpm.filtro, B21:B$1000=_xlpm.v_ticker, _xlpm.c_fechas, _xlfn._xlws.FILTER(_xlpm.rango_f, _xlpm.filtro*(_xlpm.rango_t&gt;0), _xlpm.v_fecha), _xlpm.c_cants, _xlfn._xlws.FILTER(_xlpm.rango_t, _xlpm.filtro*(_xlpm.rango_t&gt;0), 0), _xlpm.v_acums_pasadas, ABS(SUMIFS(L21:L$1000, B21:B$1000, _xlpm.v_ticker, L21:L$1000,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0" s="11"/>
    </row>
    <row r="21" spans="1:22" x14ac:dyDescent="0.45">
      <c r="A21" s="3" t="s">
        <v>224</v>
      </c>
      <c r="B21" s="3" t="s">
        <v>304</v>
      </c>
      <c r="C21" s="3" t="s">
        <v>533</v>
      </c>
      <c r="D21" s="3">
        <v>1</v>
      </c>
      <c r="E21" s="3">
        <v>0</v>
      </c>
      <c r="F21" s="3">
        <v>0</v>
      </c>
      <c r="G21" s="3" t="s">
        <v>303</v>
      </c>
      <c r="H21" s="3">
        <v>0</v>
      </c>
      <c r="I21" s="14">
        <f>IFERROR(DATE(MID(G21, FIND(",", G21)+2, 4), MATCH(LEFT(G21, 3), {"Jan","Feb","Mar","Apr","May","Jun","Jul","Aug","Sep","Oct","Nov","Dec"}, 0), MID(G21, 5, FIND(",", G21)-5)) + VALUE(MID(G21, FIND(":", G21)-2, 8)),I22)</f>
        <v>45950.090891203705</v>
      </c>
      <c r="J21" s="60" t="str" cm="1">
        <f t="array" ref="J21">IF(OR(ISNUMBER(SEARCH("C",B21)),ISNUMBER(SEARCH("P",B21))),IF(ISNUMBER(SEARCH("C",B21)),"Call","Put"),IF(AND(E21&lt;&gt;0,OR(C21="option exercised",C21="option assigned"),A21="buy"),_xlfn._xlws.FILTER(B$2:B$100,(LEFT(B$2:B$100,LEN(B21))=B21)*(LEN(B$2:B$100)&gt;LEN(B21))*(K$2:K$100=E21)*(I$2:I$100=I21)*(C$2:C$100=C21)*((C21="option assigned")*(ISNUMBER(SEARCH("P",B$2:B$100)))+(C21="option exercised")*(ISNUMBER(SEARCH("C",B$2:B$100)))),""),""))</f>
        <v>Call</v>
      </c>
      <c r="K21" s="9">
        <f t="shared" si="1"/>
        <v>6</v>
      </c>
      <c r="L21" s="5">
        <f t="shared" si="0"/>
        <v>1</v>
      </c>
      <c r="M21" s="5">
        <f>SUMIF(B21:B$88,B21,L21:L$88)</f>
        <v>0</v>
      </c>
      <c r="N21" s="9">
        <v>18.403199999999998</v>
      </c>
      <c r="O21" s="10" cm="1">
        <f t="array" ref="O21">IF(F21=0,_xlfn.XLOOKUP(B21,B22:B$89,O22:O$89,0,0,1),IF(_xlfn.XLOOKUP(B21,B22:B$89,M22:M$89,1,0,1)=0,IF(M21&gt;0,(F21+H21)*N21/M21,(F21-H21)*N21/-M21),IF(M21&gt;0,IF(M21&gt;_xlfn.XLOOKUP(B21,B22:B$89,M22:M$89,0,0,1),(_xlfn.XLOOKUP(B21,B22:B$89,O22:O$89,0,0,1)*_xlfn.XLOOKUP(B21,B22:B$89,M22:M$89,0,0,1)+(F21+H21)*N21+IF(_xlfn.XLOOKUP(J21,B22:B$89,J22:J$89,0,0,1)="put",-_xlfn.XLOOKUP(J21,B22:B$89,O22:O$89,0,0,1)*L21/100,_xlfn.XLOOKUP(J21,B22:B$89,O22:O$89,0,0,1)*L21/100))/M21,_xlfn.XLOOKUP(B21,B22:B$89,O22:O$89,,0,1)),IF(M21&lt;0,IF(M21&lt;_xlfn.XLOOKUP(B21,B22:B$89,M22:M$89,0,0,1),(_xlfn.XLOOKUP(B21,B22:B$89,O22:O$89,0,0,1)*_xlfn.XLOOKUP(B21,B22:B$89,M22:M$89,0,0,1)-(F21-H21)*N21)/M21,_xlfn.XLOOKUP(B21,B22:B$89,O21:O$88,,0,1)),0))))</f>
        <v>5814.8869999999997</v>
      </c>
      <c r="P21" s="10" cm="1">
        <f t="array" ref="P21">IF(_xlfn.XLOOKUP(B21,J$2:J21,J$2:J21,0,0,-1)=B21,0,IF(G21="",-H21*N21,IFERROR(IF(_xlfn.XLOOKUP(B21,B22:B$89,M22:M$89,,0,1)&lt;0,IF(M21&gt;_xlfn.XLOOKUP(B21,B22:B$89,M22:M$89,,0,1),L21*_xlfn.XLOOKUP(B21,B22:B$89,O22:O$89,,0,1)+(-F21-H21)*N21,0),IF(_xlfn.XLOOKUP(B21,B22:B$89,M22:M$89,,0,1)&gt;0,IF(M21&lt;_xlfn.XLOOKUP(B21,B22:B$89,M22:M$89,,0,1),(F21-H21)*N21-_xlfn.XLOOKUP(B21,B22:B$89,O22:O$89,,0,1)*-L21,0),0)),0)))</f>
        <v>5814.8869999999997</v>
      </c>
      <c r="Q21" s="56">
        <v>141.708</v>
      </c>
      <c r="R21" s="56">
        <v>141.197</v>
      </c>
      <c r="S21" s="10" cm="1">
        <f t="array" ref="S21">IF(F21=0,_xlfn.XLOOKUP(B21,B22:B$89,S22:S$89,0,0,1),IF(_xlfn.XLOOKUP(B21,B22:B$89,M22:M$89,1,0,1)=0,IF(M21&gt;0,(F21+H21)*N21/M21,(F21-H21)*N21/-M21),IF(M21&gt;0,IF(M21&gt;_xlfn.XLOOKUP(B21,B22:B$89,M22:M$89,0,0,1),(_xlfn.XLOOKUP(B21,B22:B$89,S22:S$89,0,0,1)*MAX(1,Q21/_xlfn.XLOOKUP(B21,B22:B$89,Q22:Q$89,Q21,0,1))*_xlfn.XLOOKUP(B21,B22:B$89,M22:M$89,0,0,1)+(F21+H21)*N21+IF(_xlfn.XLOOKUP(J21,B22:B$89,J22:J$89,0,0,1)="put",-_xlfn.XLOOKUP(J21,B22:B$89,S22:S$89,0,0,1)*L21/100,_xlfn.XLOOKUP(J21,B22:B$89,S22:S$89,0,0,1)*L21/100))/M21,_xlfn.XLOOKUP(B21,B22:B$89,S22:S$89,,0,1)*MAX(1,Q21/_xlfn.XLOOKUP(B21,B22:B$89,Q22:Q$89,Q21,0,1))),IF(M21&lt;0,IF(M21&lt;_xlfn.XLOOKUP(B21,B22:B$89,M22:M$89,0,0,1),(_xlfn.XLOOKUP(B21,B22:B$89,S22:S$89,0,0,1)*_xlfn.XLOOKUP(B21,B22:B$89,M22:M$89,0,0,1)-(F21-H21)*N21)/M21,_xlfn.XLOOKUP(B21,B22:B$89,S22:S$89,,0,1)),0))))</f>
        <v>5814.8869999999997</v>
      </c>
      <c r="T21" s="59" cm="1">
        <f t="array" ref="T21">IF(_xlfn.XLOOKUP(B21,J$2:J21,J$2:J21,0,0,-1)=B21,0,IF(G21="",-H21*N21,IFERROR(IF(_xlfn.XLOOKUP(B21,B22:B$89,M22:M$89,,0,1)&lt;0,IF(M21&gt;_xlfn.XLOOKUP(B21,B22:B$89,M22:M$89,,0,1),L21*_xlfn.XLOOKUP(B21,B22:B$89,S22:S$89,,0,1)+(-F21-H21)*N21,0),IF(_xlfn.XLOOKUP(B21,B22:B$89,M22:M$89,,0,1)&gt;0,IF(M21&lt;_xlfn.XLOOKUP(B21,B22:B$89,M22:M$89,,0,1),(F21-H21)*N21-_xlfn.XLOOKUP(B21,B22:B$89,S22:S$89,,0,1)*-L21*MAX(1,R21/_xlfn.XLOOKUP(B21,B22:B$89,Q22:Q$89,R21,0,1)),0),0)),0)))</f>
        <v>5814.8869999999997</v>
      </c>
      <c r="U21" s="56" cm="1">
        <f t="array" ref="U21">IF(AND(OR(J21="call",J21="put"),T21&lt;&gt;0),1,IF(T21=0,"-",IF(L21&lt;0, _xlfn.LET(_xlpm.v_cant, ABS(L21), _xlpm.v_fecha, I21, _xlpm.v_ticker, B21, _xlpm.rango_f, I22:I$1000, _xlpm.rango_t, L22:L$1000, _xlpm.filtro, B22:B$1000=_xlpm.v_ticker, _xlpm.c_fechas, _xlfn._xlws.FILTER(_xlpm.rango_f, _xlpm.filtro*(_xlpm.rango_t&gt;0), _xlpm.v_fecha), _xlpm.c_cants, _xlfn._xlws.FILTER(_xlpm.rango_t, _xlpm.filtro*(_xlpm.rango_t&gt;0), 0), _xlpm.v_acums_pasadas, ABS(SUMIFS(L22:L$1000, B22:B$1000, _xlpm.v_ticker, L22:L$1000,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1" s="11"/>
    </row>
    <row r="22" spans="1:22" x14ac:dyDescent="0.45">
      <c r="A22" s="3" t="s">
        <v>224</v>
      </c>
      <c r="B22" s="3" t="s">
        <v>305</v>
      </c>
      <c r="D22" s="3">
        <v>100</v>
      </c>
      <c r="E22" s="3">
        <v>15.99</v>
      </c>
      <c r="F22" s="15">
        <v>1599</v>
      </c>
      <c r="G22" s="3" t="s">
        <v>306</v>
      </c>
      <c r="H22" s="3">
        <v>2.29</v>
      </c>
      <c r="I22" s="14">
        <f>IFERROR(DATE(MID(G22, FIND(",", G22)+2, 4), MATCH(LEFT(G22, 3), {"Jan","Feb","Mar","Apr","May","Jun","Jul","Aug","Sep","Oct","Nov","Dec"}, 0), MID(G22, 5, FIND(",", G22)-5)) + VALUE(MID(G22, FIND(":", G22)-2, 8)),I23)</f>
        <v>45943.471168981479</v>
      </c>
      <c r="J22" s="60" t="str" cm="1">
        <f t="array" ref="J22">IF(OR(ISNUMBER(SEARCH("C",B22)),ISNUMBER(SEARCH("P",B22))),IF(ISNUMBER(SEARCH("C",B22)),"Call","Put"),IF(AND(E22&lt;&gt;0,OR(C22="option exercised",C22="option assigned"),A22="buy"),_xlfn._xlws.FILTER(B$2:B$100,(LEFT(B$2:B$100,LEN(B22))=B22)*(LEN(B$2:B$100)&gt;LEN(B22))*(K$2:K$100=E22)*(I$2:I$100=I22)*(C$2:C$100=C22)*((C22="option assigned")*(ISNUMBER(SEARCH("P",B$2:B$100)))+(C22="option exercised")*(ISNUMBER(SEARCH("C",B$2:B$100)))),""),""))</f>
        <v>Call</v>
      </c>
      <c r="K22" s="9">
        <f t="shared" si="1"/>
        <v>0</v>
      </c>
      <c r="L22" s="5">
        <f t="shared" si="0"/>
        <v>100</v>
      </c>
      <c r="M22" s="5">
        <f>SUMIF(B22:B$88,B22,L22:L$88)</f>
        <v>0</v>
      </c>
      <c r="N22" s="9">
        <v>18.440000000000001</v>
      </c>
      <c r="O22" s="10" cm="1">
        <f t="array" ref="O22">IF(F22=0,_xlfn.XLOOKUP(B22,B23:B$89,O23:O$89,0,0,1),IF(_xlfn.XLOOKUP(B22,B23:B$89,M23:M$89,1,0,1)=0,IF(M22&gt;0,(F22+H22)*N22/M22,(F22-H22)*N22/-M22),IF(M22&gt;0,IF(M22&gt;_xlfn.XLOOKUP(B22,B23:B$89,M23:M$89,0,0,1),(_xlfn.XLOOKUP(B22,B23:B$89,O23:O$89,0,0,1)*_xlfn.XLOOKUP(B22,B23:B$89,M23:M$89,0,0,1)+(F22+H22)*N22+IF(_xlfn.XLOOKUP(J22,B23:B$89,J23:J$89,0,0,1)="put",-_xlfn.XLOOKUP(J22,B23:B$89,O23:O$89,0,0,1)*L22/100,_xlfn.XLOOKUP(J22,B23:B$89,O23:O$89,0,0,1)*L22/100))/M22,_xlfn.XLOOKUP(B22,B23:B$89,O23:O$89,,0,1)),IF(M22&lt;0,IF(M22&lt;_xlfn.XLOOKUP(B22,B23:B$89,M23:M$89,0,0,1),(_xlfn.XLOOKUP(B22,B23:B$89,O23:O$89,0,0,1)*_xlfn.XLOOKUP(B22,B23:B$89,M23:M$89,0,0,1)-(F22-H22)*N22)/M22,_xlfn.XLOOKUP(B22,B23:B$89,O22:O$88,,0,1)),0))))</f>
        <v>0</v>
      </c>
      <c r="P22" s="10" cm="1">
        <f t="array" ref="P22">IF(_xlfn.XLOOKUP(B22,J$2:J22,J$2:J22,0,0,-1)=B22,0,IF(G22="",-H22*N22,IFERROR(IF(_xlfn.XLOOKUP(B22,B23:B$89,M23:M$89,,0,1)&lt;0,IF(M22&gt;_xlfn.XLOOKUP(B22,B23:B$89,M23:M$89,,0,1),L22*_xlfn.XLOOKUP(B22,B23:B$89,O23:O$89,,0,1)+(-F22-H22)*N22,0),IF(_xlfn.XLOOKUP(B22,B23:B$89,M23:M$89,,0,1)&gt;0,IF(M22&lt;_xlfn.XLOOKUP(B22,B23:B$89,M23:M$89,,0,1),(F22-H22)*N22-_xlfn.XLOOKUP(B22,B23:B$89,O23:O$89,,0,1)*-L22,0),0)),0)))</f>
        <v>-1868.1563999999998</v>
      </c>
      <c r="Q22" s="56">
        <v>141.708</v>
      </c>
      <c r="R22" s="56">
        <v>141.197</v>
      </c>
      <c r="S22" s="10" cm="1">
        <f t="array" ref="S22">IF(F22=0,_xlfn.XLOOKUP(B22,B23:B$89,S23:S$89,0,0,1),IF(_xlfn.XLOOKUP(B22,B23:B$89,M23:M$89,1,0,1)=0,IF(M22&gt;0,(F22+H22)*N22/M22,(F22-H22)*N22/-M22),IF(M22&gt;0,IF(M22&gt;_xlfn.XLOOKUP(B22,B23:B$89,M23:M$89,0,0,1),(_xlfn.XLOOKUP(B22,B23:B$89,S23:S$89,0,0,1)*MAX(1,Q22/_xlfn.XLOOKUP(B22,B23:B$89,Q23:Q$89,Q22,0,1))*_xlfn.XLOOKUP(B22,B23:B$89,M23:M$89,0,0,1)+(F22+H22)*N22+IF(_xlfn.XLOOKUP(J22,B23:B$89,J23:J$89,0,0,1)="put",-_xlfn.XLOOKUP(J22,B23:B$89,S23:S$89,0,0,1)*L22/100,_xlfn.XLOOKUP(J22,B23:B$89,S23:S$89,0,0,1)*L22/100))/M22,_xlfn.XLOOKUP(B22,B23:B$89,S23:S$89,,0,1)*MAX(1,Q22/_xlfn.XLOOKUP(B22,B23:B$89,Q23:Q$89,Q22,0,1))),IF(M22&lt;0,IF(M22&lt;_xlfn.XLOOKUP(B22,B23:B$89,M23:M$89,0,0,1),(_xlfn.XLOOKUP(B22,B23:B$89,S23:S$89,0,0,1)*_xlfn.XLOOKUP(B22,B23:B$89,M23:M$89,0,0,1)-(F22-H22)*N22)/M22,_xlfn.XLOOKUP(B22,B23:B$89,S23:S$89,,0,1)),0))))</f>
        <v>0</v>
      </c>
      <c r="T22" s="59" cm="1">
        <f t="array" ref="T22">IF(_xlfn.XLOOKUP(B22,J$2:J22,J$2:J22,0,0,-1)=B22,0,IF(G22="",-H22*N22,IFERROR(IF(_xlfn.XLOOKUP(B22,B23:B$89,M23:M$89,,0,1)&lt;0,IF(M22&gt;_xlfn.XLOOKUP(B22,B23:B$89,M23:M$89,,0,1),L22*_xlfn.XLOOKUP(B22,B23:B$89,S23:S$89,,0,1)+(-F22-H22)*N22,0),IF(_xlfn.XLOOKUP(B22,B23:B$89,M23:M$89,,0,1)&gt;0,IF(M22&lt;_xlfn.XLOOKUP(B22,B23:B$89,M23:M$89,,0,1),(F22-H22)*N22-_xlfn.XLOOKUP(B22,B23:B$89,S23:S$89,,0,1)*-L22*MAX(1,R22/_xlfn.XLOOKUP(B22,B23:B$89,Q23:Q$89,R22,0,1)),0),0)),0)))</f>
        <v>-1868.1563999999998</v>
      </c>
      <c r="U22" s="56" cm="1">
        <f t="array" ref="U22">IF(AND(OR(J22="call",J22="put"),T22&lt;&gt;0),1,IF(T22=0,"-",IF(L22&lt;0, _xlfn.LET(_xlpm.v_cant, ABS(L22), _xlpm.v_fecha, I22, _xlpm.v_ticker, B22, _xlpm.rango_f, I23:I$1000, _xlpm.rango_t, L23:L$1000, _xlpm.filtro, B23:B$1000=_xlpm.v_ticker, _xlpm.c_fechas, _xlfn._xlws.FILTER(_xlpm.rango_f, _xlpm.filtro*(_xlpm.rango_t&gt;0), _xlpm.v_fecha), _xlpm.c_cants, _xlfn._xlws.FILTER(_xlpm.rango_t, _xlpm.filtro*(_xlpm.rango_t&gt;0), 0), _xlpm.v_acums_pasadas, ABS(SUMIFS(L23:L$1000, B23:B$1000, _xlpm.v_ticker, L23:L$1000,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2" s="11"/>
    </row>
    <row r="23" spans="1:22" x14ac:dyDescent="0.45">
      <c r="A23" s="3" t="s">
        <v>224</v>
      </c>
      <c r="B23" s="3" t="s">
        <v>307</v>
      </c>
      <c r="C23" s="3" t="s">
        <v>533</v>
      </c>
      <c r="D23" s="3">
        <v>1</v>
      </c>
      <c r="E23" s="3">
        <v>0</v>
      </c>
      <c r="F23" s="3">
        <v>0</v>
      </c>
      <c r="G23" s="3" t="s">
        <v>308</v>
      </c>
      <c r="H23" s="3">
        <v>0</v>
      </c>
      <c r="I23" s="14">
        <f>IFERROR(DATE(MID(G23, FIND(",", G23)+2, 4), MATCH(LEFT(G23, 3), {"Jan","Feb","Mar","Apr","May","Jun","Jul","Aug","Sep","Oct","Nov","Dec"}, 0), MID(G23, 5, FIND(",", G23)-5)) + VALUE(MID(G23, FIND(":", G23)-2, 8)),I24)</f>
        <v>45943.095393518517</v>
      </c>
      <c r="J23" s="60" t="str" cm="1">
        <f t="array" ref="J23">IF(OR(ISNUMBER(SEARCH("C",B23)),ISNUMBER(SEARCH("P",B23))),IF(ISNUMBER(SEARCH("C",B23)),"Call","Put"),IF(AND(E23&lt;&gt;0,OR(C23="option exercised",C23="option assigned"),A23="buy"),_xlfn._xlws.FILTER(B$2:B$100,(LEFT(B$2:B$100,LEN(B23))=B23)*(LEN(B$2:B$100)&gt;LEN(B23))*(K$2:K$100=E23)*(I$2:I$100=I23)*(C$2:C$100=C23)*((C23="option assigned")*(ISNUMBER(SEARCH("P",B$2:B$100)))+(C23="option exercised")*(ISNUMBER(SEARCH("C",B$2:B$100)))),""),""))</f>
        <v>Call</v>
      </c>
      <c r="K23" s="9">
        <f t="shared" si="1"/>
        <v>16</v>
      </c>
      <c r="L23" s="5">
        <f t="shared" si="0"/>
        <v>1</v>
      </c>
      <c r="M23" s="5">
        <f>SUMIF(B23:B$88,B23,L23:L$88)</f>
        <v>0</v>
      </c>
      <c r="N23" s="9">
        <v>18.440000000000001</v>
      </c>
      <c r="O23" s="10" cm="1">
        <f t="array" ref="O23">IF(F23=0,_xlfn.XLOOKUP(B23,B24:B$89,O24:O$89,0,0,1),IF(_xlfn.XLOOKUP(B23,B24:B$89,M24:M$89,1,0,1)=0,IF(M23&gt;0,(F23+H23)*N23/M23,(F23-H23)*N23/-M23),IF(M23&gt;0,IF(M23&gt;_xlfn.XLOOKUP(B23,B24:B$89,M24:M$89,0,0,1),(_xlfn.XLOOKUP(B23,B24:B$89,O24:O$89,0,0,1)*_xlfn.XLOOKUP(B23,B24:B$89,M24:M$89,0,0,1)+(F23+H23)*N23+IF(_xlfn.XLOOKUP(J23,B24:B$89,J24:J$89,0,0,1)="put",-_xlfn.XLOOKUP(J23,B24:B$89,O24:O$89,0,0,1)*L23/100,_xlfn.XLOOKUP(J23,B24:B$89,O24:O$89,0,0,1)*L23/100))/M23,_xlfn.XLOOKUP(B23,B24:B$89,O24:O$89,,0,1)),IF(M23&lt;0,IF(M23&lt;_xlfn.XLOOKUP(B23,B24:B$89,M24:M$89,0,0,1),(_xlfn.XLOOKUP(B23,B24:B$89,O24:O$89,0,0,1)*_xlfn.XLOOKUP(B23,B24:B$89,M24:M$89,0,0,1)-(F23-H23)*N23)/M23,_xlfn.XLOOKUP(B23,B24:B$89,O23:O$88,,0,1)),0))))</f>
        <v>634.27</v>
      </c>
      <c r="P23" s="10" cm="1">
        <f t="array" ref="P23">IF(_xlfn.XLOOKUP(B23,J$2:J23,J$2:J23,0,0,-1)=B23,0,IF(G23="",-H23*N23,IFERROR(IF(_xlfn.XLOOKUP(B23,B24:B$89,M24:M$89,,0,1)&lt;0,IF(M23&gt;_xlfn.XLOOKUP(B23,B24:B$89,M24:M$89,,0,1),L23*_xlfn.XLOOKUP(B23,B24:B$89,O24:O$89,,0,1)+(-F23-H23)*N23,0),IF(_xlfn.XLOOKUP(B23,B24:B$89,M24:M$89,,0,1)&gt;0,IF(M23&lt;_xlfn.XLOOKUP(B23,B24:B$89,M24:M$89,,0,1),(F23-H23)*N23-_xlfn.XLOOKUP(B23,B24:B$89,O24:O$89,,0,1)*-L23,0),0)),0)))</f>
        <v>634.27</v>
      </c>
      <c r="Q23" s="56">
        <v>141.708</v>
      </c>
      <c r="R23" s="56">
        <v>141.197</v>
      </c>
      <c r="S23" s="10" cm="1">
        <f t="array" ref="S23">IF(F23=0,_xlfn.XLOOKUP(B23,B24:B$89,S24:S$89,0,0,1),IF(_xlfn.XLOOKUP(B23,B24:B$89,M24:M$89,1,0,1)=0,IF(M23&gt;0,(F23+H23)*N23/M23,(F23-H23)*N23/-M23),IF(M23&gt;0,IF(M23&gt;_xlfn.XLOOKUP(B23,B24:B$89,M24:M$89,0,0,1),(_xlfn.XLOOKUP(B23,B24:B$89,S24:S$89,0,0,1)*MAX(1,Q23/_xlfn.XLOOKUP(B23,B24:B$89,Q24:Q$89,Q23,0,1))*_xlfn.XLOOKUP(B23,B24:B$89,M24:M$89,0,0,1)+(F23+H23)*N23+IF(_xlfn.XLOOKUP(J23,B24:B$89,J24:J$89,0,0,1)="put",-_xlfn.XLOOKUP(J23,B24:B$89,S24:S$89,0,0,1)*L23/100,_xlfn.XLOOKUP(J23,B24:B$89,S24:S$89,0,0,1)*L23/100))/M23,_xlfn.XLOOKUP(B23,B24:B$89,S24:S$89,,0,1)*MAX(1,Q23/_xlfn.XLOOKUP(B23,B24:B$89,Q24:Q$89,Q23,0,1))),IF(M23&lt;0,IF(M23&lt;_xlfn.XLOOKUP(B23,B24:B$89,M24:M$89,0,0,1),(_xlfn.XLOOKUP(B23,B24:B$89,S24:S$89,0,0,1)*_xlfn.XLOOKUP(B23,B24:B$89,M24:M$89,0,0,1)-(F23-H23)*N23)/M23,_xlfn.XLOOKUP(B23,B24:B$89,S24:S$89,,0,1)),0))))</f>
        <v>634.27</v>
      </c>
      <c r="T23" s="59" cm="1">
        <f t="array" ref="T23">IF(_xlfn.XLOOKUP(B23,J$2:J23,J$2:J23,0,0,-1)=B23,0,IF(G23="",-H23*N23,IFERROR(IF(_xlfn.XLOOKUP(B23,B24:B$89,M24:M$89,,0,1)&lt;0,IF(M23&gt;_xlfn.XLOOKUP(B23,B24:B$89,M24:M$89,,0,1),L23*_xlfn.XLOOKUP(B23,B24:B$89,S24:S$89,,0,1)+(-F23-H23)*N23,0),IF(_xlfn.XLOOKUP(B23,B24:B$89,M24:M$89,,0,1)&gt;0,IF(M23&lt;_xlfn.XLOOKUP(B23,B24:B$89,M24:M$89,,0,1),(F23-H23)*N23-_xlfn.XLOOKUP(B23,B24:B$89,S24:S$89,,0,1)*-L23*MAX(1,R23/_xlfn.XLOOKUP(B23,B24:B$89,Q24:Q$89,R23,0,1)),0),0)),0)))</f>
        <v>634.27</v>
      </c>
      <c r="U23" s="56" cm="1">
        <f t="array" ref="U23">IF(AND(OR(J23="call",J23="put"),T23&lt;&gt;0),1,IF(T23=0,"-",IF(L23&lt;0, _xlfn.LET(_xlpm.v_cant, ABS(L23), _xlpm.v_fecha, I23, _xlpm.v_ticker, B23, _xlpm.rango_f, I24:I$1000, _xlpm.rango_t, L24:L$1000, _xlpm.filtro, B24:B$1000=_xlpm.v_ticker, _xlpm.c_fechas, _xlfn._xlws.FILTER(_xlpm.rango_f, _xlpm.filtro*(_xlpm.rango_t&gt;0), _xlpm.v_fecha), _xlpm.c_cants, _xlfn._xlws.FILTER(_xlpm.rango_t, _xlpm.filtro*(_xlpm.rango_t&gt;0), 0), _xlpm.v_acums_pasadas, ABS(SUMIFS(L24:L$1000, B24:B$1000, _xlpm.v_ticker, L24:L$1000,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3" s="11"/>
    </row>
    <row r="24" spans="1:22" x14ac:dyDescent="0.45">
      <c r="A24" s="3" t="s">
        <v>222</v>
      </c>
      <c r="B24" s="3" t="s">
        <v>309</v>
      </c>
      <c r="C24" s="3" t="s">
        <v>533</v>
      </c>
      <c r="D24" s="3">
        <v>1</v>
      </c>
      <c r="E24" s="3">
        <v>0</v>
      </c>
      <c r="F24" s="3">
        <v>0</v>
      </c>
      <c r="G24" s="3" t="s">
        <v>308</v>
      </c>
      <c r="H24" s="3">
        <v>0</v>
      </c>
      <c r="I24" s="14">
        <f>IFERROR(DATE(MID(G24, FIND(",", G24)+2, 4), MATCH(LEFT(G24, 3), {"Jan","Feb","Mar","Apr","May","Jun","Jul","Aug","Sep","Oct","Nov","Dec"}, 0), MID(G24, 5, FIND(",", G24)-5)) + VALUE(MID(G24, FIND(":", G24)-2, 8)),I25)</f>
        <v>45943.095393518517</v>
      </c>
      <c r="J24" s="60" t="str" cm="1">
        <f t="array" ref="J24">IF(OR(ISNUMBER(SEARCH("C",B24)),ISNUMBER(SEARCH("P",B24))),IF(ISNUMBER(SEARCH("C",B24)),"Call","Put"),IF(AND(E24&lt;&gt;0,OR(C24="option exercised",C24="option assigned"),A24="buy"),_xlfn._xlws.FILTER(B$2:B$100,(LEFT(B$2:B$100,LEN(B24))=B24)*(LEN(B$2:B$100)&gt;LEN(B24))*(K$2:K$100=E24)*(I$2:I$100=I24)*(C$2:C$100=C24)*((C24="option assigned")*(ISNUMBER(SEARCH("P",B$2:B$100)))+(C24="option exercised")*(ISNUMBER(SEARCH("C",B$2:B$100)))),""),""))</f>
        <v>Call</v>
      </c>
      <c r="K24" s="9">
        <f t="shared" si="1"/>
        <v>15.5</v>
      </c>
      <c r="L24" s="5">
        <f t="shared" si="0"/>
        <v>-1</v>
      </c>
      <c r="M24" s="5">
        <f>SUMIF(B24:B$88,B24,L24:L$88)</f>
        <v>0</v>
      </c>
      <c r="N24" s="9">
        <v>18.440000000000001</v>
      </c>
      <c r="O24" s="10" cm="1">
        <f t="array" ref="O24">IF(F24=0,_xlfn.XLOOKUP(B24,B25:B$89,O25:O$89,0,0,1),IF(_xlfn.XLOOKUP(B24,B25:B$89,M25:M$89,1,0,1)=0,IF(M24&gt;0,(F24+H24)*N24/M24,(F24-H24)*N24/-M24),IF(M24&gt;0,IF(M24&gt;_xlfn.XLOOKUP(B24,B25:B$89,M25:M$89,0,0,1),(_xlfn.XLOOKUP(B24,B25:B$89,O25:O$89,0,0,1)*_xlfn.XLOOKUP(B24,B25:B$89,M25:M$89,0,0,1)+(F24+H24)*N24+IF(_xlfn.XLOOKUP(J24,B25:B$89,J25:J$89,0,0,1)="put",-_xlfn.XLOOKUP(J24,B25:B$89,O25:O$89,0,0,1)*L24/100,_xlfn.XLOOKUP(J24,B25:B$89,O25:O$89,0,0,1)*L24/100))/M24,_xlfn.XLOOKUP(B24,B25:B$89,O25:O$89,,0,1)),IF(M24&lt;0,IF(M24&lt;_xlfn.XLOOKUP(B24,B25:B$89,M25:M$89,0,0,1),(_xlfn.XLOOKUP(B24,B25:B$89,O25:O$89,0,0,1)*_xlfn.XLOOKUP(B24,B25:B$89,M25:M$89,0,0,1)-(F24-H24)*N24)/M24,_xlfn.XLOOKUP(B24,B25:B$89,O24:O$88,,0,1)),0))))</f>
        <v>988.71500000000003</v>
      </c>
      <c r="P24" s="10" cm="1">
        <f t="array" ref="P24">IF(_xlfn.XLOOKUP(B24,J$2:J24,J$2:J24,0,0,-1)=B24,0,IF(G24="",-H24*N24,IFERROR(IF(_xlfn.XLOOKUP(B24,B25:B$89,M25:M$89,,0,1)&lt;0,IF(M24&gt;_xlfn.XLOOKUP(B24,B25:B$89,M25:M$89,,0,1),L24*_xlfn.XLOOKUP(B24,B25:B$89,O25:O$89,,0,1)+(-F24-H24)*N24,0),IF(_xlfn.XLOOKUP(B24,B25:B$89,M25:M$89,,0,1)&gt;0,IF(M24&lt;_xlfn.XLOOKUP(B24,B25:B$89,M25:M$89,,0,1),(F24-H24)*N24-_xlfn.XLOOKUP(B24,B25:B$89,O25:O$89,,0,1)*-L24,0),0)),0)))</f>
        <v>-988.71500000000003</v>
      </c>
      <c r="Q24" s="56">
        <v>141.708</v>
      </c>
      <c r="R24" s="56">
        <v>141.197</v>
      </c>
      <c r="S24" s="10" cm="1">
        <f t="array" ref="S24">IF(F24=0,_xlfn.XLOOKUP(B24,B25:B$89,S25:S$89,0,0,1),IF(_xlfn.XLOOKUP(B24,B25:B$89,M25:M$89,1,0,1)=0,IF(M24&gt;0,(F24+H24)*N24/M24,(F24-H24)*N24/-M24),IF(M24&gt;0,IF(M24&gt;_xlfn.XLOOKUP(B24,B25:B$89,M25:M$89,0,0,1),(_xlfn.XLOOKUP(B24,B25:B$89,S25:S$89,0,0,1)*MAX(1,Q24/_xlfn.XLOOKUP(B24,B25:B$89,Q25:Q$89,Q24,0,1))*_xlfn.XLOOKUP(B24,B25:B$89,M25:M$89,0,0,1)+(F24+H24)*N24+IF(_xlfn.XLOOKUP(J24,B25:B$89,J25:J$89,0,0,1)="put",-_xlfn.XLOOKUP(J24,B25:B$89,S25:S$89,0,0,1)*L24/100,_xlfn.XLOOKUP(J24,B25:B$89,S25:S$89,0,0,1)*L24/100))/M24,_xlfn.XLOOKUP(B24,B25:B$89,S25:S$89,,0,1)*MAX(1,Q24/_xlfn.XLOOKUP(B24,B25:B$89,Q25:Q$89,Q24,0,1))),IF(M24&lt;0,IF(M24&lt;_xlfn.XLOOKUP(B24,B25:B$89,M25:M$89,0,0,1),(_xlfn.XLOOKUP(B24,B25:B$89,S25:S$89,0,0,1)*_xlfn.XLOOKUP(B24,B25:B$89,M25:M$89,0,0,1)-(F24-H24)*N24)/M24,_xlfn.XLOOKUP(B24,B25:B$89,S25:S$89,,0,1)),0))))</f>
        <v>988.71500000000003</v>
      </c>
      <c r="T24" s="59" cm="1">
        <f t="array" ref="T24">IF(_xlfn.XLOOKUP(B24,J$2:J24,J$2:J24,0,0,-1)=B24,0,IF(G24="",-H24*N24,IFERROR(IF(_xlfn.XLOOKUP(B24,B25:B$89,M25:M$89,,0,1)&lt;0,IF(M24&gt;_xlfn.XLOOKUP(B24,B25:B$89,M25:M$89,,0,1),L24*_xlfn.XLOOKUP(B24,B25:B$89,S25:S$89,,0,1)+(-F24-H24)*N24,0),IF(_xlfn.XLOOKUP(B24,B25:B$89,M25:M$89,,0,1)&gt;0,IF(M24&lt;_xlfn.XLOOKUP(B24,B25:B$89,M25:M$89,,0,1),(F24-H24)*N24-_xlfn.XLOOKUP(B24,B25:B$89,S25:S$89,,0,1)*-L24*MAX(1,R24/_xlfn.XLOOKUP(B24,B25:B$89,Q25:Q$89,R24,0,1)),0),0)),0)))</f>
        <v>-988.71500000000003</v>
      </c>
      <c r="U24" s="56" cm="1">
        <f t="array" ref="U24">IF(AND(OR(J24="call",J24="put"),T24&lt;&gt;0),1,IF(T24=0,"-",IF(L24&lt;0, _xlfn.LET(_xlpm.v_cant, ABS(L24), _xlpm.v_fecha, I24, _xlpm.v_ticker, B24, _xlpm.rango_f, I25:I$1000, _xlpm.rango_t, L25:L$1000, _xlpm.filtro, B25:B$1000=_xlpm.v_ticker, _xlpm.c_fechas, _xlfn._xlws.FILTER(_xlpm.rango_f, _xlpm.filtro*(_xlpm.rango_t&gt;0), _xlpm.v_fecha), _xlpm.c_cants, _xlfn._xlws.FILTER(_xlpm.rango_t, _xlpm.filtro*(_xlpm.rango_t&gt;0), 0), _xlpm.v_acums_pasadas, ABS(SUMIFS(L25:L$1000, B25:B$1000, _xlpm.v_ticker, L25:L$1000,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4" s="11"/>
    </row>
    <row r="25" spans="1:22" x14ac:dyDescent="0.45">
      <c r="A25" s="3" t="s">
        <v>222</v>
      </c>
      <c r="B25" s="3" t="s">
        <v>305</v>
      </c>
      <c r="C25" s="3" t="s">
        <v>535</v>
      </c>
      <c r="D25" s="3">
        <v>100</v>
      </c>
      <c r="E25" s="3">
        <v>15</v>
      </c>
      <c r="F25" s="15">
        <v>1500</v>
      </c>
      <c r="G25" s="3" t="s">
        <v>308</v>
      </c>
      <c r="H25" s="3">
        <v>0.02</v>
      </c>
      <c r="I25" s="14">
        <f>IFERROR(DATE(MID(G25, FIND(",", G25)+2, 4), MATCH(LEFT(G25, 3), {"Jan","Feb","Mar","Apr","May","Jun","Jul","Aug","Sep","Oct","Nov","Dec"}, 0), MID(G25, 5, FIND(",", G25)-5)) + VALUE(MID(G25, FIND(":", G25)-2, 8)),I26)</f>
        <v>45943.095393518517</v>
      </c>
      <c r="J25" s="60" t="str" cm="1">
        <f t="array" ref="J25">IF(OR(ISNUMBER(SEARCH("C",B25)),ISNUMBER(SEARCH("P",B25))),IF(ISNUMBER(SEARCH("C",B25)),"Call","Put"),IF(AND(E25&lt;&gt;0,OR(C25="option exercised",C25="option assigned"),A25="buy"),_xlfn._xlws.FILTER(B$2:B$100,(LEFT(B$2:B$100,LEN(B25))=B25)*(LEN(B$2:B$100)&gt;LEN(B25))*(K$2:K$100=E25)*(I$2:I$100=I25)*(C$2:C$100=C25)*((C25="option assigned")*(ISNUMBER(SEARCH("P",B$2:B$100)))+(C25="option exercised")*(ISNUMBER(SEARCH("C",B$2:B$100)))),""),""))</f>
        <v>Call</v>
      </c>
      <c r="K25" s="9">
        <f t="shared" si="1"/>
        <v>0</v>
      </c>
      <c r="L25" s="5">
        <f t="shared" si="0"/>
        <v>-100</v>
      </c>
      <c r="M25" s="5">
        <f>SUMIF(B25:B$88,B25,L25:L$88)</f>
        <v>-100</v>
      </c>
      <c r="N25" s="9">
        <v>18.440000000000001</v>
      </c>
      <c r="O25" s="10" cm="1">
        <f t="array" ref="O25">IF(F25=0,_xlfn.XLOOKUP(B25,B26:B$89,O26:O$89,0,0,1),IF(_xlfn.XLOOKUP(B25,B26:B$89,M26:M$89,1,0,1)=0,IF(M25&gt;0,(F25+H25)*N25/M25,(F25-H25)*N25/-M25),IF(M25&gt;0,IF(M25&gt;_xlfn.XLOOKUP(B25,B26:B$89,M26:M$89,0,0,1),(_xlfn.XLOOKUP(B25,B26:B$89,O26:O$89,0,0,1)*_xlfn.XLOOKUP(B25,B26:B$89,M26:M$89,0,0,1)+(F25+H25)*N25+IF(_xlfn.XLOOKUP(J25,B26:B$89,J26:J$89,0,0,1)="put",-_xlfn.XLOOKUP(J25,B26:B$89,O26:O$89,0,0,1)*L25/100,_xlfn.XLOOKUP(J25,B26:B$89,O26:O$89,0,0,1)*L25/100))/M25,_xlfn.XLOOKUP(B25,B26:B$89,O26:O$89,,0,1)),IF(M25&lt;0,IF(M25&lt;_xlfn.XLOOKUP(B25,B26:B$89,M26:M$89,0,0,1),(_xlfn.XLOOKUP(B25,B26:B$89,O26:O$89,0,0,1)*_xlfn.XLOOKUP(B25,B26:B$89,M26:M$89,0,0,1)-(F25-H25)*N25)/M25,_xlfn.XLOOKUP(B25,B26:B$89,O25:O$88,,0,1)),0))))</f>
        <v>276.59631200000001</v>
      </c>
      <c r="P25" s="10" cm="1">
        <f t="array" ref="P25">IF(_xlfn.XLOOKUP(B25,J$2:J25,J$2:J25,0,0,-1)=B25,0,IF(G25="",-H25*N25,IFERROR(IF(_xlfn.XLOOKUP(B25,B26:B$89,M26:M$89,,0,1)&lt;0,IF(M25&gt;_xlfn.XLOOKUP(B25,B26:B$89,M26:M$89,,0,1),L25*_xlfn.XLOOKUP(B25,B26:B$89,O26:O$89,,0,1)+(-F25-H25)*N25,0),IF(_xlfn.XLOOKUP(B25,B26:B$89,M26:M$89,,0,1)&gt;0,IF(M25&lt;_xlfn.XLOOKUP(B25,B26:B$89,M26:M$89,,0,1),(F25-H25)*N25-_xlfn.XLOOKUP(B25,B26:B$89,O26:O$89,,0,1)*-L25,0),0)),0)))</f>
        <v>0</v>
      </c>
      <c r="Q25" s="56">
        <v>141.708</v>
      </c>
      <c r="R25" s="56">
        <v>141.197</v>
      </c>
      <c r="S25" s="10" cm="1">
        <f t="array" ref="S25">IF(F25=0,_xlfn.XLOOKUP(B25,B26:B$89,S26:S$89,0,0,1),IF(_xlfn.XLOOKUP(B25,B26:B$89,M26:M$89,1,0,1)=0,IF(M25&gt;0,(F25+H25)*N25/M25,(F25-H25)*N25/-M25),IF(M25&gt;0,IF(M25&gt;_xlfn.XLOOKUP(B25,B26:B$89,M26:M$89,0,0,1),(_xlfn.XLOOKUP(B25,B26:B$89,S26:S$89,0,0,1)*MAX(1,Q25/_xlfn.XLOOKUP(B25,B26:B$89,Q26:Q$89,Q25,0,1))*_xlfn.XLOOKUP(B25,B26:B$89,M26:M$89,0,0,1)+(F25+H25)*N25+IF(_xlfn.XLOOKUP(J25,B26:B$89,J26:J$89,0,0,1)="put",-_xlfn.XLOOKUP(J25,B26:B$89,S26:S$89,0,0,1)*L25/100,_xlfn.XLOOKUP(J25,B26:B$89,S26:S$89,0,0,1)*L25/100))/M25,_xlfn.XLOOKUP(B25,B26:B$89,S26:S$89,,0,1)*MAX(1,Q25/_xlfn.XLOOKUP(B25,B26:B$89,Q26:Q$89,Q25,0,1))),IF(M25&lt;0,IF(M25&lt;_xlfn.XLOOKUP(B25,B26:B$89,M26:M$89,0,0,1),(_xlfn.XLOOKUP(B25,B26:B$89,S26:S$89,0,0,1)*_xlfn.XLOOKUP(B25,B26:B$89,M26:M$89,0,0,1)-(F25-H25)*N25)/M25,_xlfn.XLOOKUP(B25,B26:B$89,S26:S$89,,0,1)),0))))</f>
        <v>276.59631200000001</v>
      </c>
      <c r="T25" s="59" cm="1">
        <f t="array" ref="T25">IF(_xlfn.XLOOKUP(B25,J$2:J25,J$2:J25,0,0,-1)=B25,0,IF(G25="",-H25*N25,IFERROR(IF(_xlfn.XLOOKUP(B25,B26:B$89,M26:M$89,,0,1)&lt;0,IF(M25&gt;_xlfn.XLOOKUP(B25,B26:B$89,M26:M$89,,0,1),L25*_xlfn.XLOOKUP(B25,B26:B$89,S26:S$89,,0,1)+(-F25-H25)*N25,0),IF(_xlfn.XLOOKUP(B25,B26:B$89,M26:M$89,,0,1)&gt;0,IF(M25&lt;_xlfn.XLOOKUP(B25,B26:B$89,M26:M$89,,0,1),(F25-H25)*N25-_xlfn.XLOOKUP(B25,B26:B$89,S26:S$89,,0,1)*-L25*MAX(1,R25/_xlfn.XLOOKUP(B25,B26:B$89,Q26:Q$89,R25,0,1)),0),0)),0)))</f>
        <v>0</v>
      </c>
      <c r="U25" s="56" t="str" cm="1">
        <f t="array" ref="U25">IF(AND(OR(J25="call",J25="put"),T25&lt;&gt;0),1,IF(T25=0,"-",IF(L25&lt;0, _xlfn.LET(_xlpm.v_cant, ABS(L25), _xlpm.v_fecha, I25, _xlpm.v_ticker, B25, _xlpm.rango_f, I26:I$1000, _xlpm.rango_t, L26:L$1000, _xlpm.filtro, B26:B$1000=_xlpm.v_ticker, _xlpm.c_fechas, _xlfn._xlws.FILTER(_xlpm.rango_f, _xlpm.filtro*(_xlpm.rango_t&gt;0), _xlpm.v_fecha), _xlpm.c_cants, _xlfn._xlws.FILTER(_xlpm.rango_t, _xlpm.filtro*(_xlpm.rango_t&gt;0), 0), _xlpm.v_acums_pasadas, ABS(SUMIFS(L26:L$1000, B26:B$1000, _xlpm.v_ticker, L26:L$1000,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25" s="11"/>
    </row>
    <row r="26" spans="1:22" x14ac:dyDescent="0.45">
      <c r="A26" s="3" t="s">
        <v>224</v>
      </c>
      <c r="B26" s="3" t="s">
        <v>310</v>
      </c>
      <c r="C26" s="3" t="s">
        <v>535</v>
      </c>
      <c r="D26" s="3">
        <v>1</v>
      </c>
      <c r="E26" s="3">
        <v>0</v>
      </c>
      <c r="F26" s="3">
        <v>0</v>
      </c>
      <c r="G26" s="3" t="s">
        <v>308</v>
      </c>
      <c r="H26" s="3">
        <v>0</v>
      </c>
      <c r="I26" s="14">
        <f>IFERROR(DATE(MID(G26, FIND(",", G26)+2, 4), MATCH(LEFT(G26, 3), {"Jan","Feb","Mar","Apr","May","Jun","Jul","Aug","Sep","Oct","Nov","Dec"}, 0), MID(G26, 5, FIND(",", G26)-5)) + VALUE(MID(G26, FIND(":", G26)-2, 8)),I27)</f>
        <v>45943.095393518517</v>
      </c>
      <c r="J26" s="60" t="str" cm="1">
        <f t="array" ref="J26">IF(OR(ISNUMBER(SEARCH("C",B26)),ISNUMBER(SEARCH("P",B26))),IF(ISNUMBER(SEARCH("C",B26)),"Call","Put"),IF(AND(E26&lt;&gt;0,OR(C26="option exercised",C26="option assigned"),A26="buy"),_xlfn._xlws.FILTER(B$2:B$100,(LEFT(B$2:B$100,LEN(B26))=B26)*(LEN(B$2:B$100)&gt;LEN(B26))*(K$2:K$100=E26)*(I$2:I$100=I26)*(C$2:C$100=C26)*((C26="option assigned")*(ISNUMBER(SEARCH("P",B$2:B$100)))+(C26="option exercised")*(ISNUMBER(SEARCH("C",B$2:B$100)))),""),""))</f>
        <v>Call</v>
      </c>
      <c r="K26" s="9">
        <f t="shared" si="1"/>
        <v>0</v>
      </c>
      <c r="L26" s="5">
        <f t="shared" si="0"/>
        <v>1</v>
      </c>
      <c r="M26" s="5">
        <f>SUMIF(B26:B$88,B26,L26:L$88)</f>
        <v>0</v>
      </c>
      <c r="N26" s="9">
        <v>18.440000000000001</v>
      </c>
      <c r="O26" s="10" cm="1">
        <f t="array" ref="O26">IF(F26=0,_xlfn.XLOOKUP(B26,B27:B$89,O27:O$89,0,0,1),IF(_xlfn.XLOOKUP(B26,B27:B$89,M27:M$89,1,0,1)=0,IF(M26&gt;0,(F26+H26)*N26/M26,(F26-H26)*N26/-M26),IF(M26&gt;0,IF(M26&gt;_xlfn.XLOOKUP(B26,B27:B$89,M27:M$89,0,0,1),(_xlfn.XLOOKUP(B26,B27:B$89,O27:O$89,0,0,1)*_xlfn.XLOOKUP(B26,B27:B$89,M27:M$89,0,0,1)+(F26+H26)*N26+IF(_xlfn.XLOOKUP(J26,B27:B$89,J27:J$89,0,0,1)="put",-_xlfn.XLOOKUP(J26,B27:B$89,O27:O$89,0,0,1)*L26/100,_xlfn.XLOOKUP(J26,B27:B$89,O27:O$89,0,0,1)*L26/100))/M26,_xlfn.XLOOKUP(B26,B27:B$89,O27:O$89,,0,1)),IF(M26&lt;0,IF(M26&lt;_xlfn.XLOOKUP(B26,B27:B$89,M27:M$89,0,0,1),(_xlfn.XLOOKUP(B26,B27:B$89,O27:O$89,0,0,1)*_xlfn.XLOOKUP(B26,B27:B$89,M27:M$89,0,0,1)-(F26-H26)*N26)/M26,_xlfn.XLOOKUP(B26,B27:B$89,O26:O$88,,0,1)),0))))</f>
        <v>2207.4495999999999</v>
      </c>
      <c r="P26" s="10" cm="1">
        <f t="array" ref="P26">IF(_xlfn.XLOOKUP(B26,J$2:J26,J$2:J26,0,0,-1)=B26,0,IF(G26="",-H26*N26,IFERROR(IF(_xlfn.XLOOKUP(B26,B27:B$89,M27:M$89,,0,1)&lt;0,IF(M26&gt;_xlfn.XLOOKUP(B26,B27:B$89,M27:M$89,,0,1),L26*_xlfn.XLOOKUP(B26,B27:B$89,O27:O$89,,0,1)+(-F26-H26)*N26,0),IF(_xlfn.XLOOKUP(B26,B27:B$89,M27:M$89,,0,1)&gt;0,IF(M26&lt;_xlfn.XLOOKUP(B26,B27:B$89,M27:M$89,,0,1),(F26-H26)*N26-_xlfn.XLOOKUP(B26,B27:B$89,O27:O$89,,0,1)*-L26,0),0)),0)))</f>
        <v>2207.4495999999999</v>
      </c>
      <c r="Q26" s="56">
        <v>141.708</v>
      </c>
      <c r="R26" s="56">
        <v>141.197</v>
      </c>
      <c r="S26" s="10" cm="1">
        <f t="array" ref="S26">IF(F26=0,_xlfn.XLOOKUP(B26,B27:B$89,S27:S$89,0,0,1),IF(_xlfn.XLOOKUP(B26,B27:B$89,M27:M$89,1,0,1)=0,IF(M26&gt;0,(F26+H26)*N26/M26,(F26-H26)*N26/-M26),IF(M26&gt;0,IF(M26&gt;_xlfn.XLOOKUP(B26,B27:B$89,M27:M$89,0,0,1),(_xlfn.XLOOKUP(B26,B27:B$89,S27:S$89,0,0,1)*MAX(1,Q26/_xlfn.XLOOKUP(B26,B27:B$89,Q27:Q$89,Q26,0,1))*_xlfn.XLOOKUP(B26,B27:B$89,M27:M$89,0,0,1)+(F26+H26)*N26+IF(_xlfn.XLOOKUP(J26,B27:B$89,J27:J$89,0,0,1)="put",-_xlfn.XLOOKUP(J26,B27:B$89,S27:S$89,0,0,1)*L26/100,_xlfn.XLOOKUP(J26,B27:B$89,S27:S$89,0,0,1)*L26/100))/M26,_xlfn.XLOOKUP(B26,B27:B$89,S27:S$89,,0,1)*MAX(1,Q26/_xlfn.XLOOKUP(B26,B27:B$89,Q27:Q$89,Q26,0,1))),IF(M26&lt;0,IF(M26&lt;_xlfn.XLOOKUP(B26,B27:B$89,M27:M$89,0,0,1),(_xlfn.XLOOKUP(B26,B27:B$89,S27:S$89,0,0,1)*_xlfn.XLOOKUP(B26,B27:B$89,M27:M$89,0,0,1)-(F26-H26)*N26)/M26,_xlfn.XLOOKUP(B26,B27:B$89,S27:S$89,,0,1)),0))))</f>
        <v>2207.4495999999999</v>
      </c>
      <c r="T26" s="59" cm="1">
        <f t="array" ref="T26">IF(_xlfn.XLOOKUP(B26,J$2:J26,J$2:J26,0,0,-1)=B26,0,IF(G26="",-H26*N26,IFERROR(IF(_xlfn.XLOOKUP(B26,B27:B$89,M27:M$89,,0,1)&lt;0,IF(M26&gt;_xlfn.XLOOKUP(B26,B27:B$89,M27:M$89,,0,1),L26*_xlfn.XLOOKUP(B26,B27:B$89,S27:S$89,,0,1)+(-F26-H26)*N26,0),IF(_xlfn.XLOOKUP(B26,B27:B$89,M27:M$89,,0,1)&gt;0,IF(M26&lt;_xlfn.XLOOKUP(B26,B27:B$89,M27:M$89,,0,1),(F26-H26)*N26-_xlfn.XLOOKUP(B26,B27:B$89,S27:S$89,,0,1)*-L26*MAX(1,R26/_xlfn.XLOOKUP(B26,B27:B$89,Q27:Q$89,R26,0,1)),0),0)),0)))</f>
        <v>2207.4495999999999</v>
      </c>
      <c r="U26" s="56" cm="1">
        <f t="array" ref="U26">IF(AND(OR(J26="call",J26="put"),T26&lt;&gt;0),1,IF(T26=0,"-",IF(L26&lt;0, _xlfn.LET(_xlpm.v_cant, ABS(L26), _xlpm.v_fecha, I26, _xlpm.v_ticker, B26, _xlpm.rango_f, I27:I$1000, _xlpm.rango_t, L27:L$1000, _xlpm.filtro, B27:B$1000=_xlpm.v_ticker, _xlpm.c_fechas, _xlfn._xlws.FILTER(_xlpm.rango_f, _xlpm.filtro*(_xlpm.rango_t&gt;0), _xlpm.v_fecha), _xlpm.c_cants, _xlfn._xlws.FILTER(_xlpm.rango_t, _xlpm.filtro*(_xlpm.rango_t&gt;0), 0), _xlpm.v_acums_pasadas, ABS(SUMIFS(L27:L$1000, B27:B$1000, _xlpm.v_ticker, L27:L$1000,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6" s="11"/>
    </row>
    <row r="27" spans="1:22" x14ac:dyDescent="0.45">
      <c r="A27" s="3" t="s">
        <v>222</v>
      </c>
      <c r="B27" s="3" t="s">
        <v>311</v>
      </c>
      <c r="C27" s="3" t="s">
        <v>533</v>
      </c>
      <c r="D27" s="3">
        <v>1</v>
      </c>
      <c r="E27" s="3">
        <v>0</v>
      </c>
      <c r="F27" s="3">
        <v>0</v>
      </c>
      <c r="G27" s="3" t="s">
        <v>308</v>
      </c>
      <c r="H27" s="3">
        <v>0</v>
      </c>
      <c r="I27" s="14">
        <f>IFERROR(DATE(MID(G27, FIND(",", G27)+2, 4), MATCH(LEFT(G27, 3), {"Jan","Feb","Mar","Apr","May","Jun","Jul","Aug","Sep","Oct","Nov","Dec"}, 0), MID(G27, 5, FIND(",", G27)-5)) + VALUE(MID(G27, FIND(":", G27)-2, 8)),I28)</f>
        <v>45943.095393518517</v>
      </c>
      <c r="J27" s="60" t="str" cm="1">
        <f t="array" ref="J27">IF(OR(ISNUMBER(SEARCH("C",B27)),ISNUMBER(SEARCH("P",B27))),IF(ISNUMBER(SEARCH("C",B27)),"Call","Put"),IF(AND(E27&lt;&gt;0,OR(C27="option exercised",C27="option assigned"),A27="buy"),_xlfn._xlws.FILTER(B$2:B$100,(LEFT(B$2:B$100,LEN(B27))=B27)*(LEN(B$2:B$100)&gt;LEN(B27))*(K$2:K$100=E27)*(I$2:I$100=I27)*(C$2:C$100=C27)*((C27="option assigned")*(ISNUMBER(SEARCH("P",B$2:B$100)))+(C27="option exercised")*(ISNUMBER(SEARCH("C",B$2:B$100)))),""),""))</f>
        <v>Call</v>
      </c>
      <c r="K27" s="9">
        <f t="shared" si="1"/>
        <v>0</v>
      </c>
      <c r="L27" s="5">
        <f t="shared" si="0"/>
        <v>-1</v>
      </c>
      <c r="M27" s="5">
        <f>SUMIF(B27:B$88,B27,L27:L$88)</f>
        <v>0</v>
      </c>
      <c r="N27" s="9">
        <v>18.440000000000001</v>
      </c>
      <c r="O27" s="10" cm="1">
        <f t="array" ref="O27">IF(F27=0,_xlfn.XLOOKUP(B27,B28:B$89,O28:O$89,0,0,1),IF(_xlfn.XLOOKUP(B27,B28:B$89,M28:M$89,1,0,1)=0,IF(M27&gt;0,(F27+H27)*N27/M27,(F27-H27)*N27/-M27),IF(M27&gt;0,IF(M27&gt;_xlfn.XLOOKUP(B27,B28:B$89,M28:M$89,0,0,1),(_xlfn.XLOOKUP(B27,B28:B$89,O28:O$89,0,0,1)*_xlfn.XLOOKUP(B27,B28:B$89,M28:M$89,0,0,1)+(F27+H27)*N27+IF(_xlfn.XLOOKUP(J27,B28:B$89,J28:J$89,0,0,1)="put",-_xlfn.XLOOKUP(J27,B28:B$89,O28:O$89,0,0,1)*L27/100,_xlfn.XLOOKUP(J27,B28:B$89,O28:O$89,0,0,1)*L27/100))/M27,_xlfn.XLOOKUP(B27,B28:B$89,O28:O$89,,0,1)),IF(M27&lt;0,IF(M27&lt;_xlfn.XLOOKUP(B27,B28:B$89,M28:M$89,0,0,1),(_xlfn.XLOOKUP(B27,B28:B$89,O28:O$89,0,0,1)*_xlfn.XLOOKUP(B27,B28:B$89,M28:M$89,0,0,1)-(F27-H27)*N27)/M27,_xlfn.XLOOKUP(B27,B28:B$89,O27:O$88,,0,1)),0))))</f>
        <v>1365.6256000000001</v>
      </c>
      <c r="P27" s="10" cm="1">
        <f t="array" ref="P27">IF(_xlfn.XLOOKUP(B27,J$2:J27,J$2:J27,0,0,-1)=B27,0,IF(G27="",-H27*N27,IFERROR(IF(_xlfn.XLOOKUP(B27,B28:B$89,M28:M$89,,0,1)&lt;0,IF(M27&gt;_xlfn.XLOOKUP(B27,B28:B$89,M28:M$89,,0,1),L27*_xlfn.XLOOKUP(B27,B28:B$89,O28:O$89,,0,1)+(-F27-H27)*N27,0),IF(_xlfn.XLOOKUP(B27,B28:B$89,M28:M$89,,0,1)&gt;0,IF(M27&lt;_xlfn.XLOOKUP(B27,B28:B$89,M28:M$89,,0,1),(F27-H27)*N27-_xlfn.XLOOKUP(B27,B28:B$89,O28:O$89,,0,1)*-L27,0),0)),0)))</f>
        <v>-1365.6256000000001</v>
      </c>
      <c r="Q27" s="56">
        <v>141.708</v>
      </c>
      <c r="R27" s="56">
        <v>141.197</v>
      </c>
      <c r="S27" s="10" cm="1">
        <f t="array" ref="S27">IF(F27=0,_xlfn.XLOOKUP(B27,B28:B$89,S28:S$89,0,0,1),IF(_xlfn.XLOOKUP(B27,B28:B$89,M28:M$89,1,0,1)=0,IF(M27&gt;0,(F27+H27)*N27/M27,(F27-H27)*N27/-M27),IF(M27&gt;0,IF(M27&gt;_xlfn.XLOOKUP(B27,B28:B$89,M28:M$89,0,0,1),(_xlfn.XLOOKUP(B27,B28:B$89,S28:S$89,0,0,1)*MAX(1,Q27/_xlfn.XLOOKUP(B27,B28:B$89,Q28:Q$89,Q27,0,1))*_xlfn.XLOOKUP(B27,B28:B$89,M28:M$89,0,0,1)+(F27+H27)*N27+IF(_xlfn.XLOOKUP(J27,B28:B$89,J28:J$89,0,0,1)="put",-_xlfn.XLOOKUP(J27,B28:B$89,S28:S$89,0,0,1)*L27/100,_xlfn.XLOOKUP(J27,B28:B$89,S28:S$89,0,0,1)*L27/100))/M27,_xlfn.XLOOKUP(B27,B28:B$89,S28:S$89,,0,1)*MAX(1,Q27/_xlfn.XLOOKUP(B27,B28:B$89,Q28:Q$89,Q27,0,1))),IF(M27&lt;0,IF(M27&lt;_xlfn.XLOOKUP(B27,B28:B$89,M28:M$89,0,0,1),(_xlfn.XLOOKUP(B27,B28:B$89,S28:S$89,0,0,1)*_xlfn.XLOOKUP(B27,B28:B$89,M28:M$89,0,0,1)-(F27-H27)*N27)/M27,_xlfn.XLOOKUP(B27,B28:B$89,S28:S$89,,0,1)),0))))</f>
        <v>1365.6256000000001</v>
      </c>
      <c r="T27" s="59" cm="1">
        <f t="array" ref="T27">IF(_xlfn.XLOOKUP(B27,J$2:J27,J$2:J27,0,0,-1)=B27,0,IF(G27="",-H27*N27,IFERROR(IF(_xlfn.XLOOKUP(B27,B28:B$89,M28:M$89,,0,1)&lt;0,IF(M27&gt;_xlfn.XLOOKUP(B27,B28:B$89,M28:M$89,,0,1),L27*_xlfn.XLOOKUP(B27,B28:B$89,S28:S$89,,0,1)+(-F27-H27)*N27,0),IF(_xlfn.XLOOKUP(B27,B28:B$89,M28:M$89,,0,1)&gt;0,IF(M27&lt;_xlfn.XLOOKUP(B27,B28:B$89,M28:M$89,,0,1),(F27-H27)*N27-_xlfn.XLOOKUP(B27,B28:B$89,S28:S$89,,0,1)*-L27*MAX(1,R27/_xlfn.XLOOKUP(B27,B28:B$89,Q28:Q$89,R27,0,1)),0),0)),0)))</f>
        <v>-1365.6256000000001</v>
      </c>
      <c r="U27" s="56" cm="1">
        <f t="array" ref="U27">IF(AND(OR(J27="call",J27="put"),T27&lt;&gt;0),1,IF(T27=0,"-",IF(L27&lt;0, _xlfn.LET(_xlpm.v_cant, ABS(L27), _xlpm.v_fecha, I27, _xlpm.v_ticker, B27, _xlpm.rango_f, I28:I$1000, _xlpm.rango_t, L28:L$1000, _xlpm.filtro, B28:B$1000=_xlpm.v_ticker, _xlpm.c_fechas, _xlfn._xlws.FILTER(_xlpm.rango_f, _xlpm.filtro*(_xlpm.rango_t&gt;0), _xlpm.v_fecha), _xlpm.c_cants, _xlfn._xlws.FILTER(_xlpm.rango_t, _xlpm.filtro*(_xlpm.rango_t&gt;0), 0), _xlpm.v_acums_pasadas, ABS(SUMIFS(L28:L$1000, B28:B$1000, _xlpm.v_ticker, L28:L$1000,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7" s="11"/>
    </row>
    <row r="28" spans="1:22" x14ac:dyDescent="0.45">
      <c r="A28" s="3" t="s">
        <v>224</v>
      </c>
      <c r="B28" s="3" t="s">
        <v>312</v>
      </c>
      <c r="C28" s="3" t="s">
        <v>533</v>
      </c>
      <c r="D28" s="3">
        <v>1</v>
      </c>
      <c r="E28" s="3">
        <v>0</v>
      </c>
      <c r="F28" s="3">
        <v>0</v>
      </c>
      <c r="G28" s="3" t="s">
        <v>308</v>
      </c>
      <c r="H28" s="3">
        <v>0</v>
      </c>
      <c r="I28" s="14">
        <f>IFERROR(DATE(MID(G28, FIND(",", G28)+2, 4), MATCH(LEFT(G28, 3), {"Jan","Feb","Mar","Apr","May","Jun","Jul","Aug","Sep","Oct","Nov","Dec"}, 0), MID(G28, 5, FIND(",", G28)-5)) + VALUE(MID(G28, FIND(":", G28)-2, 8)),I29)</f>
        <v>45943.095393518517</v>
      </c>
      <c r="J28" s="60" t="str" cm="1">
        <f t="array" ref="J28">IF(OR(ISNUMBER(SEARCH("C",B28)),ISNUMBER(SEARCH("P",B28))),IF(ISNUMBER(SEARCH("C",B28)),"Call","Put"),IF(AND(E28&lt;&gt;0,OR(C28="option exercised",C28="option assigned"),A28="buy"),_xlfn._xlws.FILTER(B$2:B$100,(LEFT(B$2:B$100,LEN(B28))=B28)*(LEN(B$2:B$100)&gt;LEN(B28))*(K$2:K$100=E28)*(I$2:I$100=I28)*(C$2:C$100=C28)*((C28="option assigned")*(ISNUMBER(SEARCH("P",B$2:B$100)))+(C28="option exercised")*(ISNUMBER(SEARCH("C",B$2:B$100)))),""),""))</f>
        <v>Call</v>
      </c>
      <c r="K28" s="9">
        <f t="shared" si="1"/>
        <v>0</v>
      </c>
      <c r="L28" s="5">
        <f t="shared" si="0"/>
        <v>1</v>
      </c>
      <c r="M28" s="5">
        <f>SUMIF(B28:B$88,B28,L28:L$88)</f>
        <v>0</v>
      </c>
      <c r="N28" s="9">
        <v>18.440000000000001</v>
      </c>
      <c r="O28" s="10" cm="1">
        <f t="array" ref="O28">IF(F28=0,_xlfn.XLOOKUP(B28,B29:B$89,O29:O$89,0,0,1),IF(_xlfn.XLOOKUP(B28,B29:B$89,M29:M$89,1,0,1)=0,IF(M28&gt;0,(F28+H28)*N28/M28,(F28-H28)*N28/-M28),IF(M28&gt;0,IF(M28&gt;_xlfn.XLOOKUP(B28,B29:B$89,M29:M$89,0,0,1),(_xlfn.XLOOKUP(B28,B29:B$89,O29:O$89,0,0,1)*_xlfn.XLOOKUP(B28,B29:B$89,M29:M$89,0,0,1)+(F28+H28)*N28+IF(_xlfn.XLOOKUP(J28,B29:B$89,J29:J$89,0,0,1)="put",-_xlfn.XLOOKUP(J28,B29:B$89,O29:O$89,0,0,1)*L28/100,_xlfn.XLOOKUP(J28,B29:B$89,O29:O$89,0,0,1)*L28/100))/M28,_xlfn.XLOOKUP(B28,B29:B$89,O29:O$89,,0,1)),IF(M28&lt;0,IF(M28&lt;_xlfn.XLOOKUP(B28,B29:B$89,M29:M$89,0,0,1),(_xlfn.XLOOKUP(B28,B29:B$89,O29:O$89,0,0,1)*_xlfn.XLOOKUP(B28,B29:B$89,M29:M$89,0,0,1)-(F28-H28)*N28)/M28,_xlfn.XLOOKUP(B28,B29:B$89,O28:O$88,,0,1)),0))))</f>
        <v>1552.6976</v>
      </c>
      <c r="P28" s="10" cm="1">
        <f t="array" ref="P28">IF(_xlfn.XLOOKUP(B28,J$2:J28,J$2:J28,0,0,-1)=B28,0,IF(G28="",-H28*N28,IFERROR(IF(_xlfn.XLOOKUP(B28,B29:B$89,M29:M$89,,0,1)&lt;0,IF(M28&gt;_xlfn.XLOOKUP(B28,B29:B$89,M29:M$89,,0,1),L28*_xlfn.XLOOKUP(B28,B29:B$89,O29:O$89,,0,1)+(-F28-H28)*N28,0),IF(_xlfn.XLOOKUP(B28,B29:B$89,M29:M$89,,0,1)&gt;0,IF(M28&lt;_xlfn.XLOOKUP(B28,B29:B$89,M29:M$89,,0,1),(F28-H28)*N28-_xlfn.XLOOKUP(B28,B29:B$89,O29:O$89,,0,1)*-L28,0),0)),0)))</f>
        <v>1552.6976</v>
      </c>
      <c r="Q28" s="56">
        <v>141.708</v>
      </c>
      <c r="R28" s="56">
        <v>141.197</v>
      </c>
      <c r="S28" s="10" cm="1">
        <f t="array" ref="S28">IF(F28=0,_xlfn.XLOOKUP(B28,B29:B$89,S29:S$89,0,0,1),IF(_xlfn.XLOOKUP(B28,B29:B$89,M29:M$89,1,0,1)=0,IF(M28&gt;0,(F28+H28)*N28/M28,(F28-H28)*N28/-M28),IF(M28&gt;0,IF(M28&gt;_xlfn.XLOOKUP(B28,B29:B$89,M29:M$89,0,0,1),(_xlfn.XLOOKUP(B28,B29:B$89,S29:S$89,0,0,1)*MAX(1,Q28/_xlfn.XLOOKUP(B28,B29:B$89,Q29:Q$89,Q28,0,1))*_xlfn.XLOOKUP(B28,B29:B$89,M29:M$89,0,0,1)+(F28+H28)*N28+IF(_xlfn.XLOOKUP(J28,B29:B$89,J29:J$89,0,0,1)="put",-_xlfn.XLOOKUP(J28,B29:B$89,S29:S$89,0,0,1)*L28/100,_xlfn.XLOOKUP(J28,B29:B$89,S29:S$89,0,0,1)*L28/100))/M28,_xlfn.XLOOKUP(B28,B29:B$89,S29:S$89,,0,1)*MAX(1,Q28/_xlfn.XLOOKUP(B28,B29:B$89,Q29:Q$89,Q28,0,1))),IF(M28&lt;0,IF(M28&lt;_xlfn.XLOOKUP(B28,B29:B$89,M29:M$89,0,0,1),(_xlfn.XLOOKUP(B28,B29:B$89,S29:S$89,0,0,1)*_xlfn.XLOOKUP(B28,B29:B$89,M29:M$89,0,0,1)-(F28-H28)*N28)/M28,_xlfn.XLOOKUP(B28,B29:B$89,S29:S$89,,0,1)),0))))</f>
        <v>1552.6976</v>
      </c>
      <c r="T28" s="59" cm="1">
        <f t="array" ref="T28">IF(_xlfn.XLOOKUP(B28,J$2:J28,J$2:J28,0,0,-1)=B28,0,IF(G28="",-H28*N28,IFERROR(IF(_xlfn.XLOOKUP(B28,B29:B$89,M29:M$89,,0,1)&lt;0,IF(M28&gt;_xlfn.XLOOKUP(B28,B29:B$89,M29:M$89,,0,1),L28*_xlfn.XLOOKUP(B28,B29:B$89,S29:S$89,,0,1)+(-F28-H28)*N28,0),IF(_xlfn.XLOOKUP(B28,B29:B$89,M29:M$89,,0,1)&gt;0,IF(M28&lt;_xlfn.XLOOKUP(B28,B29:B$89,M29:M$89,,0,1),(F28-H28)*N28-_xlfn.XLOOKUP(B28,B29:B$89,S29:S$89,,0,1)*-L28*MAX(1,R28/_xlfn.XLOOKUP(B28,B29:B$89,Q29:Q$89,R28,0,1)),0),0)),0)))</f>
        <v>1552.6976</v>
      </c>
      <c r="U28" s="56" cm="1">
        <f t="array" ref="U28">IF(AND(OR(J28="call",J28="put"),T28&lt;&gt;0),1,IF(T28=0,"-",IF(L28&lt;0, _xlfn.LET(_xlpm.v_cant, ABS(L28), _xlpm.v_fecha, I28, _xlpm.v_ticker, B28, _xlpm.rango_f, I29:I$1000, _xlpm.rango_t, L29:L$1000, _xlpm.filtro, B29:B$1000=_xlpm.v_ticker, _xlpm.c_fechas, _xlfn._xlws.FILTER(_xlpm.rango_f, _xlpm.filtro*(_xlpm.rango_t&gt;0), _xlpm.v_fecha), _xlpm.c_cants, _xlfn._xlws.FILTER(_xlpm.rango_t, _xlpm.filtro*(_xlpm.rango_t&gt;0), 0), _xlpm.v_acums_pasadas, ABS(SUMIFS(L29:L$1000, B29:B$1000, _xlpm.v_ticker, L29:L$1000,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8" s="11"/>
    </row>
    <row r="29" spans="1:22" x14ac:dyDescent="0.45">
      <c r="A29" s="3" t="s">
        <v>222</v>
      </c>
      <c r="B29" s="3" t="s">
        <v>313</v>
      </c>
      <c r="C29" s="3" t="s">
        <v>533</v>
      </c>
      <c r="D29" s="3">
        <v>1</v>
      </c>
      <c r="E29" s="3">
        <v>0</v>
      </c>
      <c r="F29" s="3">
        <v>0</v>
      </c>
      <c r="G29" s="3" t="s">
        <v>308</v>
      </c>
      <c r="H29" s="3">
        <v>0</v>
      </c>
      <c r="I29" s="14">
        <f>IFERROR(DATE(MID(G29, FIND(",", G29)+2, 4), MATCH(LEFT(G29, 3), {"Jan","Feb","Mar","Apr","May","Jun","Jul","Aug","Sep","Oct","Nov","Dec"}, 0), MID(G29, 5, FIND(",", G29)-5)) + VALUE(MID(G29, FIND(":", G29)-2, 8)),I30)</f>
        <v>45943.095393518517</v>
      </c>
      <c r="J29" s="60" t="str" cm="1">
        <f t="array" ref="J29">IF(OR(ISNUMBER(SEARCH("C",B29)),ISNUMBER(SEARCH("P",B29))),IF(ISNUMBER(SEARCH("C",B29)),"Call","Put"),IF(AND(E29&lt;&gt;0,OR(C29="option exercised",C29="option assigned"),A29="buy"),_xlfn._xlws.FILTER(B$2:B$100,(LEFT(B$2:B$100,LEN(B29))=B29)*(LEN(B$2:B$100)&gt;LEN(B29))*(K$2:K$100=E29)*(I$2:I$100=I29)*(C$2:C$100=C29)*((C29="option assigned")*(ISNUMBER(SEARCH("P",B$2:B$100)))+(C29="option exercised")*(ISNUMBER(SEARCH("C",B$2:B$100)))),""),""))</f>
        <v>Call</v>
      </c>
      <c r="K29" s="9">
        <f t="shared" si="1"/>
        <v>0</v>
      </c>
      <c r="L29" s="5">
        <f t="shared" si="0"/>
        <v>-1</v>
      </c>
      <c r="M29" s="5">
        <f>SUMIF(B29:B$88,B29,L29:L$88)</f>
        <v>0</v>
      </c>
      <c r="N29" s="9">
        <v>18.440000000000001</v>
      </c>
      <c r="O29" s="10" cm="1">
        <f t="array" ref="O29">IF(F29=0,_xlfn.XLOOKUP(B29,B30:B$89,O30:O$89,0,0,1),IF(_xlfn.XLOOKUP(B29,B30:B$89,M30:M$89,1,0,1)=0,IF(M29&gt;0,(F29+H29)*N29/M29,(F29-H29)*N29/-M29),IF(M29&gt;0,IF(M29&gt;_xlfn.XLOOKUP(B29,B30:B$89,M30:M$89,0,0,1),(_xlfn.XLOOKUP(B29,B30:B$89,O30:O$89,0,0,1)*_xlfn.XLOOKUP(B29,B30:B$89,M30:M$89,0,0,1)+(F29+H29)*N29+IF(_xlfn.XLOOKUP(J29,B30:B$89,J30:J$89,0,0,1)="put",-_xlfn.XLOOKUP(J29,B30:B$89,O30:O$89,0,0,1)*L29/100,_xlfn.XLOOKUP(J29,B30:B$89,O30:O$89,0,0,1)*L29/100))/M29,_xlfn.XLOOKUP(B29,B30:B$89,O30:O$89,,0,1)),IF(M29&lt;0,IF(M29&lt;_xlfn.XLOOKUP(B29,B30:B$89,M30:M$89,0,0,1),(_xlfn.XLOOKUP(B29,B30:B$89,O30:O$89,0,0,1)*_xlfn.XLOOKUP(B29,B30:B$89,M30:M$89,0,0,1)-(F29-H29)*N29)/M29,_xlfn.XLOOKUP(B29,B30:B$89,O29:O$88,,0,1)),0))))</f>
        <v>860.53120000000001</v>
      </c>
      <c r="P29" s="10" cm="1">
        <f t="array" ref="P29">IF(_xlfn.XLOOKUP(B29,J$2:J29,J$2:J29,0,0,-1)=B29,0,IF(G29="",-H29*N29,IFERROR(IF(_xlfn.XLOOKUP(B29,B30:B$89,M30:M$89,,0,1)&lt;0,IF(M29&gt;_xlfn.XLOOKUP(B29,B30:B$89,M30:M$89,,0,1),L29*_xlfn.XLOOKUP(B29,B30:B$89,O30:O$89,,0,1)+(-F29-H29)*N29,0),IF(_xlfn.XLOOKUP(B29,B30:B$89,M30:M$89,,0,1)&gt;0,IF(M29&lt;_xlfn.XLOOKUP(B29,B30:B$89,M30:M$89,,0,1),(F29-H29)*N29-_xlfn.XLOOKUP(B29,B30:B$89,O30:O$89,,0,1)*-L29,0),0)),0)))</f>
        <v>-860.53120000000001</v>
      </c>
      <c r="Q29" s="56">
        <v>141.708</v>
      </c>
      <c r="R29" s="56">
        <v>141.197</v>
      </c>
      <c r="S29" s="10" cm="1">
        <f t="array" ref="S29">IF(F29=0,_xlfn.XLOOKUP(B29,B30:B$89,S30:S$89,0,0,1),IF(_xlfn.XLOOKUP(B29,B30:B$89,M30:M$89,1,0,1)=0,IF(M29&gt;0,(F29+H29)*N29/M29,(F29-H29)*N29/-M29),IF(M29&gt;0,IF(M29&gt;_xlfn.XLOOKUP(B29,B30:B$89,M30:M$89,0,0,1),(_xlfn.XLOOKUP(B29,B30:B$89,S30:S$89,0,0,1)*MAX(1,Q29/_xlfn.XLOOKUP(B29,B30:B$89,Q30:Q$89,Q29,0,1))*_xlfn.XLOOKUP(B29,B30:B$89,M30:M$89,0,0,1)+(F29+H29)*N29+IF(_xlfn.XLOOKUP(J29,B30:B$89,J30:J$89,0,0,1)="put",-_xlfn.XLOOKUP(J29,B30:B$89,S30:S$89,0,0,1)*L29/100,_xlfn.XLOOKUP(J29,B30:B$89,S30:S$89,0,0,1)*L29/100))/M29,_xlfn.XLOOKUP(B29,B30:B$89,S30:S$89,,0,1)*MAX(1,Q29/_xlfn.XLOOKUP(B29,B30:B$89,Q30:Q$89,Q29,0,1))),IF(M29&lt;0,IF(M29&lt;_xlfn.XLOOKUP(B29,B30:B$89,M30:M$89,0,0,1),(_xlfn.XLOOKUP(B29,B30:B$89,S30:S$89,0,0,1)*_xlfn.XLOOKUP(B29,B30:B$89,M30:M$89,0,0,1)-(F29-H29)*N29)/M29,_xlfn.XLOOKUP(B29,B30:B$89,S30:S$89,,0,1)),0))))</f>
        <v>860.53120000000001</v>
      </c>
      <c r="T29" s="59" cm="1">
        <f t="array" ref="T29">IF(_xlfn.XLOOKUP(B29,J$2:J29,J$2:J29,0,0,-1)=B29,0,IF(G29="",-H29*N29,IFERROR(IF(_xlfn.XLOOKUP(B29,B30:B$89,M30:M$89,,0,1)&lt;0,IF(M29&gt;_xlfn.XLOOKUP(B29,B30:B$89,M30:M$89,,0,1),L29*_xlfn.XLOOKUP(B29,B30:B$89,S30:S$89,,0,1)+(-F29-H29)*N29,0),IF(_xlfn.XLOOKUP(B29,B30:B$89,M30:M$89,,0,1)&gt;0,IF(M29&lt;_xlfn.XLOOKUP(B29,B30:B$89,M30:M$89,,0,1),(F29-H29)*N29-_xlfn.XLOOKUP(B29,B30:B$89,S30:S$89,,0,1)*-L29*MAX(1,R29/_xlfn.XLOOKUP(B29,B30:B$89,Q30:Q$89,R29,0,1)),0),0)),0)))</f>
        <v>-860.53120000000001</v>
      </c>
      <c r="U29" s="56" cm="1">
        <f t="array" ref="U29">IF(AND(OR(J29="call",J29="put"),T29&lt;&gt;0),1,IF(T29=0,"-",IF(L29&lt;0, _xlfn.LET(_xlpm.v_cant, ABS(L29), _xlpm.v_fecha, I29, _xlpm.v_ticker, B29, _xlpm.rango_f, I30:I$1000, _xlpm.rango_t, L30:L$1000, _xlpm.filtro, B30:B$1000=_xlpm.v_ticker, _xlpm.c_fechas, _xlfn._xlws.FILTER(_xlpm.rango_f, _xlpm.filtro*(_xlpm.rango_t&gt;0), _xlpm.v_fecha), _xlpm.c_cants, _xlfn._xlws.FILTER(_xlpm.rango_t, _xlpm.filtro*(_xlpm.rango_t&gt;0), 0), _xlpm.v_acums_pasadas, ABS(SUMIFS(L30:L$1000, B30:B$1000, _xlpm.v_ticker, L30:L$1000,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29" s="11"/>
    </row>
    <row r="30" spans="1:22" x14ac:dyDescent="0.45">
      <c r="A30" s="3" t="s">
        <v>224</v>
      </c>
      <c r="B30" s="3" t="s">
        <v>314</v>
      </c>
      <c r="C30" s="3" t="s">
        <v>534</v>
      </c>
      <c r="D30" s="3">
        <v>1</v>
      </c>
      <c r="E30" s="3">
        <v>0.01</v>
      </c>
      <c r="F30" s="3">
        <v>1</v>
      </c>
      <c r="G30" s="3" t="s">
        <v>315</v>
      </c>
      <c r="H30" s="3">
        <v>2.99</v>
      </c>
      <c r="I30" s="14">
        <f>IFERROR(DATE(MID(G30, FIND(",", G30)+2, 4), MATCH(LEFT(G30, 3), {"Jan","Feb","Mar","Apr","May","Jun","Jul","Aug","Sep","Oct","Nov","Dec"}, 0), MID(G30, 5, FIND(",", G30)-5)) + VALUE(MID(G30, FIND(":", G30)-2, 8)),I31)</f>
        <v>45940.65662037037</v>
      </c>
      <c r="J30" s="60" t="str" cm="1">
        <f t="array" ref="J30">IF(OR(ISNUMBER(SEARCH("C",B30)),ISNUMBER(SEARCH("P",B30))),IF(ISNUMBER(SEARCH("C",B30)),"Call","Put"),IF(AND(E30&lt;&gt;0,OR(C30="option exercised",C30="option assigned"),A30="buy"),_xlfn._xlws.FILTER(B$2:B$100,(LEFT(B$2:B$100,LEN(B30))=B30)*(LEN(B$2:B$100)&gt;LEN(B30))*(K$2:K$100=E30)*(I$2:I$100=I30)*(C$2:C$100=C30)*((C30="option assigned")*(ISNUMBER(SEARCH("P",B$2:B$100)))+(C30="option exercised")*(ISNUMBER(SEARCH("C",B$2:B$100)))),""),""))</f>
        <v>Put</v>
      </c>
      <c r="K30" s="9">
        <f t="shared" si="1"/>
        <v>14.5</v>
      </c>
      <c r="L30" s="5">
        <f t="shared" si="0"/>
        <v>1</v>
      </c>
      <c r="M30" s="5">
        <f>SUMIF(B30:B$88,B30,L30:L$88)</f>
        <v>0</v>
      </c>
      <c r="N30" s="9">
        <v>18.556699999999999</v>
      </c>
      <c r="O30" s="10" cm="1">
        <f t="array" ref="O30">IF(F30=0,_xlfn.XLOOKUP(B30,B31:B$89,O31:O$89,0,0,1),IF(_xlfn.XLOOKUP(B30,B31:B$89,M31:M$89,1,0,1)=0,IF(M30&gt;0,(F30+H30)*N30/M30,(F30-H30)*N30/-M30),IF(M30&gt;0,IF(M30&gt;_xlfn.XLOOKUP(B30,B31:B$89,M31:M$89,0,0,1),(_xlfn.XLOOKUP(B30,B31:B$89,O31:O$89,0,0,1)*_xlfn.XLOOKUP(B30,B31:B$89,M31:M$89,0,0,1)+(F30+H30)*N30+IF(_xlfn.XLOOKUP(J30,B31:B$89,J31:J$89,0,0,1)="put",-_xlfn.XLOOKUP(J30,B31:B$89,O31:O$89,0,0,1)*L30/100,_xlfn.XLOOKUP(J30,B31:B$89,O31:O$89,0,0,1)*L30/100))/M30,_xlfn.XLOOKUP(B30,B31:B$89,O31:O$89,,0,1)),IF(M30&lt;0,IF(M30&lt;_xlfn.XLOOKUP(B30,B31:B$89,M31:M$89,0,0,1),(_xlfn.XLOOKUP(B30,B31:B$89,O31:O$89,0,0,1)*_xlfn.XLOOKUP(B30,B31:B$89,M31:M$89,0,0,1)-(F30-H30)*N30)/M30,_xlfn.XLOOKUP(B30,B31:B$89,O30:O$88,,0,1)),0))))</f>
        <v>0</v>
      </c>
      <c r="P30" s="10" cm="1">
        <f t="array" ref="P30">IF(_xlfn.XLOOKUP(B30,J$2:J30,J$2:J30,0,0,-1)=B30,0,IF(G30="",-H30*N30,IFERROR(IF(_xlfn.XLOOKUP(B30,B31:B$89,M31:M$89,,0,1)&lt;0,IF(M30&gt;_xlfn.XLOOKUP(B30,B31:B$89,M31:M$89,,0,1),L30*_xlfn.XLOOKUP(B30,B31:B$89,O31:O$89,,0,1)+(-F30-H30)*N30,0),IF(_xlfn.XLOOKUP(B30,B31:B$89,M31:M$89,,0,1)&gt;0,IF(M30&lt;_xlfn.XLOOKUP(B30,B31:B$89,M31:M$89,,0,1),(F30-H30)*N30-_xlfn.XLOOKUP(B30,B31:B$89,O31:O$89,,0,1)*-L30,0),0)),0)))</f>
        <v>410.98876700000005</v>
      </c>
      <c r="Q30" s="56">
        <v>141.708</v>
      </c>
      <c r="R30" s="56">
        <v>141.197</v>
      </c>
      <c r="S30" s="10" cm="1">
        <f t="array" ref="S30">IF(F30=0,_xlfn.XLOOKUP(B30,B31:B$89,S31:S$89,0,0,1),IF(_xlfn.XLOOKUP(B30,B31:B$89,M31:M$89,1,0,1)=0,IF(M30&gt;0,(F30+H30)*N30/M30,(F30-H30)*N30/-M30),IF(M30&gt;0,IF(M30&gt;_xlfn.XLOOKUP(B30,B31:B$89,M31:M$89,0,0,1),(_xlfn.XLOOKUP(B30,B31:B$89,S31:S$89,0,0,1)*MAX(1,Q30/_xlfn.XLOOKUP(B30,B31:B$89,Q31:Q$89,Q30,0,1))*_xlfn.XLOOKUP(B30,B31:B$89,M31:M$89,0,0,1)+(F30+H30)*N30+IF(_xlfn.XLOOKUP(J30,B31:B$89,J31:J$89,0,0,1)="put",-_xlfn.XLOOKUP(J30,B31:B$89,S31:S$89,0,0,1)*L30/100,_xlfn.XLOOKUP(J30,B31:B$89,S31:S$89,0,0,1)*L30/100))/M30,_xlfn.XLOOKUP(B30,B31:B$89,S31:S$89,,0,1)*MAX(1,Q30/_xlfn.XLOOKUP(B30,B31:B$89,Q31:Q$89,Q30,0,1))),IF(M30&lt;0,IF(M30&lt;_xlfn.XLOOKUP(B30,B31:B$89,M31:M$89,0,0,1),(_xlfn.XLOOKUP(B30,B31:B$89,S31:S$89,0,0,1)*_xlfn.XLOOKUP(B30,B31:B$89,M31:M$89,0,0,1)-(F30-H30)*N30)/M30,_xlfn.XLOOKUP(B30,B31:B$89,S31:S$89,,0,1)),0))))</f>
        <v>0</v>
      </c>
      <c r="T30" s="59" cm="1">
        <f t="array" ref="T30">IF(_xlfn.XLOOKUP(B30,J$2:J30,J$2:J30,0,0,-1)=B30,0,IF(G30="",-H30*N30,IFERROR(IF(_xlfn.XLOOKUP(B30,B31:B$89,M31:M$89,,0,1)&lt;0,IF(M30&gt;_xlfn.XLOOKUP(B30,B31:B$89,M31:M$89,,0,1),L30*_xlfn.XLOOKUP(B30,B31:B$89,S31:S$89,,0,1)+(-F30-H30)*N30,0),IF(_xlfn.XLOOKUP(B30,B31:B$89,M31:M$89,,0,1)&gt;0,IF(M30&lt;_xlfn.XLOOKUP(B30,B31:B$89,M31:M$89,,0,1),(F30-H30)*N30-_xlfn.XLOOKUP(B30,B31:B$89,S31:S$89,,0,1)*-L30*MAX(1,R30/_xlfn.XLOOKUP(B30,B31:B$89,Q31:Q$89,R30,0,1)),0),0)),0)))</f>
        <v>410.98876700000005</v>
      </c>
      <c r="U30" s="56" cm="1">
        <f t="array" ref="U30">IF(AND(OR(J30="call",J30="put"),T30&lt;&gt;0),1,IF(T30=0,"-",IF(L30&lt;0, _xlfn.LET(_xlpm.v_cant, ABS(L30), _xlpm.v_fecha, I30, _xlpm.v_ticker, B30, _xlpm.rango_f, I31:I$1000, _xlpm.rango_t, L31:L$1000, _xlpm.filtro, B31:B$1000=_xlpm.v_ticker, _xlpm.c_fechas, _xlfn._xlws.FILTER(_xlpm.rango_f, _xlpm.filtro*(_xlpm.rango_t&gt;0), _xlpm.v_fecha), _xlpm.c_cants, _xlfn._xlws.FILTER(_xlpm.rango_t, _xlpm.filtro*(_xlpm.rango_t&gt;0), 0), _xlpm.v_acums_pasadas, ABS(SUMIFS(L31:L$1000, B31:B$1000, _xlpm.v_ticker, L31:L$1000,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0" s="11"/>
    </row>
    <row r="31" spans="1:22" x14ac:dyDescent="0.45">
      <c r="A31" s="3" t="s">
        <v>222</v>
      </c>
      <c r="B31" s="3" t="s">
        <v>316</v>
      </c>
      <c r="D31" s="3">
        <v>1</v>
      </c>
      <c r="E31" s="3">
        <v>0.06</v>
      </c>
      <c r="F31" s="3">
        <v>6</v>
      </c>
      <c r="G31" s="3" t="s">
        <v>317</v>
      </c>
      <c r="H31" s="3">
        <v>3</v>
      </c>
      <c r="I31" s="14">
        <f>IFERROR(DATE(MID(G31, FIND(",", G31)+2, 4), MATCH(LEFT(G31, 3), {"Jan","Feb","Mar","Apr","May","Jun","Jul","Aug","Sep","Oct","Nov","Dec"}, 0), MID(G31, 5, FIND(",", G31)-5)) + VALUE(MID(G31, FIND(":", G31)-2, 8)),I32)</f>
        <v>45940.655671296299</v>
      </c>
      <c r="J31" s="60" t="str" cm="1">
        <f t="array" ref="J31">IF(OR(ISNUMBER(SEARCH("C",B31)),ISNUMBER(SEARCH("P",B31))),IF(ISNUMBER(SEARCH("C",B31)),"Call","Put"),IF(AND(E31&lt;&gt;0,OR(C31="option exercised",C31="option assigned"),A31="buy"),_xlfn._xlws.FILTER(B$2:B$100,(LEFT(B$2:B$100,LEN(B31))=B31)*(LEN(B$2:B$100)&gt;LEN(B31))*(K$2:K$100=E31)*(I$2:I$100=I31)*(C$2:C$100=C31)*((C31="option assigned")*(ISNUMBER(SEARCH("P",B$2:B$100)))+(C31="option exercised")*(ISNUMBER(SEARCH("C",B$2:B$100)))),""),""))</f>
        <v>Put</v>
      </c>
      <c r="K31" s="9">
        <f t="shared" si="1"/>
        <v>15</v>
      </c>
      <c r="L31" s="5">
        <f t="shared" si="0"/>
        <v>-1</v>
      </c>
      <c r="M31" s="5">
        <f>SUMIF(B31:B$88,B31,L31:L$88)</f>
        <v>0</v>
      </c>
      <c r="N31" s="9">
        <v>18.556699999999999</v>
      </c>
      <c r="O31" s="10" cm="1">
        <f t="array" ref="O31">IF(F31=0,_xlfn.XLOOKUP(B31,B32:B$89,O32:O$89,0,0,1),IF(_xlfn.XLOOKUP(B31,B32:B$89,M32:M$89,1,0,1)=0,IF(M31&gt;0,(F31+H31)*N31/M31,(F31-H31)*N31/-M31),IF(M31&gt;0,IF(M31&gt;_xlfn.XLOOKUP(B31,B32:B$89,M32:M$89,0,0,1),(_xlfn.XLOOKUP(B31,B32:B$89,O32:O$89,0,0,1)*_xlfn.XLOOKUP(B31,B32:B$89,M32:M$89,0,0,1)+(F31+H31)*N31+IF(_xlfn.XLOOKUP(J31,B32:B$89,J32:J$89,0,0,1)="put",-_xlfn.XLOOKUP(J31,B32:B$89,O32:O$89,0,0,1)*L31/100,_xlfn.XLOOKUP(J31,B32:B$89,O32:O$89,0,0,1)*L31/100))/M31,_xlfn.XLOOKUP(B31,B32:B$89,O32:O$89,,0,1)),IF(M31&lt;0,IF(M31&lt;_xlfn.XLOOKUP(B31,B32:B$89,M32:M$89,0,0,1),(_xlfn.XLOOKUP(B31,B32:B$89,O32:O$89,0,0,1)*_xlfn.XLOOKUP(B31,B32:B$89,M32:M$89,0,0,1)-(F31-H31)*N31)/M31,_xlfn.XLOOKUP(B31,B32:B$89,O31:O$88,,0,1)),0))))</f>
        <v>0</v>
      </c>
      <c r="P31" s="10" cm="1">
        <f t="array" ref="P31">IF(_xlfn.XLOOKUP(B31,J$2:J31,J$2:J31,0,0,-1)=B31,0,IF(G31="",-H31*N31,IFERROR(IF(_xlfn.XLOOKUP(B31,B32:B$89,M32:M$89,,0,1)&lt;0,IF(M31&gt;_xlfn.XLOOKUP(B31,B32:B$89,M32:M$89,,0,1),L31*_xlfn.XLOOKUP(B31,B32:B$89,O32:O$89,,0,1)+(-F31-H31)*N31,0),IF(_xlfn.XLOOKUP(B31,B32:B$89,M32:M$89,,0,1)&gt;0,IF(M31&lt;_xlfn.XLOOKUP(B31,B32:B$89,M32:M$89,,0,1),(F31-H31)*N31-_xlfn.XLOOKUP(B31,B32:B$89,O32:O$89,,0,1)*-L31,0),0)),0)))</f>
        <v>-765.1499</v>
      </c>
      <c r="Q31" s="56">
        <v>141.708</v>
      </c>
      <c r="R31" s="56">
        <v>141.197</v>
      </c>
      <c r="S31" s="10" cm="1">
        <f t="array" ref="S31">IF(F31=0,_xlfn.XLOOKUP(B31,B32:B$89,S32:S$89,0,0,1),IF(_xlfn.XLOOKUP(B31,B32:B$89,M32:M$89,1,0,1)=0,IF(M31&gt;0,(F31+H31)*N31/M31,(F31-H31)*N31/-M31),IF(M31&gt;0,IF(M31&gt;_xlfn.XLOOKUP(B31,B32:B$89,M32:M$89,0,0,1),(_xlfn.XLOOKUP(B31,B32:B$89,S32:S$89,0,0,1)*MAX(1,Q31/_xlfn.XLOOKUP(B31,B32:B$89,Q32:Q$89,Q31,0,1))*_xlfn.XLOOKUP(B31,B32:B$89,M32:M$89,0,0,1)+(F31+H31)*N31+IF(_xlfn.XLOOKUP(J31,B32:B$89,J32:J$89,0,0,1)="put",-_xlfn.XLOOKUP(J31,B32:B$89,S32:S$89,0,0,1)*L31/100,_xlfn.XLOOKUP(J31,B32:B$89,S32:S$89,0,0,1)*L31/100))/M31,_xlfn.XLOOKUP(B31,B32:B$89,S32:S$89,,0,1)*MAX(1,Q31/_xlfn.XLOOKUP(B31,B32:B$89,Q32:Q$89,Q31,0,1))),IF(M31&lt;0,IF(M31&lt;_xlfn.XLOOKUP(B31,B32:B$89,M32:M$89,0,0,1),(_xlfn.XLOOKUP(B31,B32:B$89,S32:S$89,0,0,1)*_xlfn.XLOOKUP(B31,B32:B$89,M32:M$89,0,0,1)-(F31-H31)*N31)/M31,_xlfn.XLOOKUP(B31,B32:B$89,S32:S$89,,0,1)),0))))</f>
        <v>0</v>
      </c>
      <c r="T31" s="59" cm="1">
        <f t="array" ref="T31">IF(_xlfn.XLOOKUP(B31,J$2:J31,J$2:J31,0,0,-1)=B31,0,IF(G31="",-H31*N31,IFERROR(IF(_xlfn.XLOOKUP(B31,B32:B$89,M32:M$89,,0,1)&lt;0,IF(M31&gt;_xlfn.XLOOKUP(B31,B32:B$89,M32:M$89,,0,1),L31*_xlfn.XLOOKUP(B31,B32:B$89,S32:S$89,,0,1)+(-F31-H31)*N31,0),IF(_xlfn.XLOOKUP(B31,B32:B$89,M32:M$89,,0,1)&gt;0,IF(M31&lt;_xlfn.XLOOKUP(B31,B32:B$89,M32:M$89,,0,1),(F31-H31)*N31-_xlfn.XLOOKUP(B31,B32:B$89,S32:S$89,,0,1)*-L31*MAX(1,R31/_xlfn.XLOOKUP(B31,B32:B$89,Q32:Q$89,R31,0,1)),0),0)),0)))</f>
        <v>-765.1499</v>
      </c>
      <c r="U31" s="56" cm="1">
        <f t="array" ref="U31">IF(AND(OR(J31="call",J31="put"),T31&lt;&gt;0),1,IF(T31=0,"-",IF(L31&lt;0, _xlfn.LET(_xlpm.v_cant, ABS(L31), _xlpm.v_fecha, I31, _xlpm.v_ticker, B31, _xlpm.rango_f, I32:I$1000, _xlpm.rango_t, L32:L$1000, _xlpm.filtro, B32:B$1000=_xlpm.v_ticker, _xlpm.c_fechas, _xlfn._xlws.FILTER(_xlpm.rango_f, _xlpm.filtro*(_xlpm.rango_t&gt;0), _xlpm.v_fecha), _xlpm.c_cants, _xlfn._xlws.FILTER(_xlpm.rango_t, _xlpm.filtro*(_xlpm.rango_t&gt;0), 0), _xlpm.v_acums_pasadas, ABS(SUMIFS(L32:L$1000, B32:B$1000, _xlpm.v_ticker, L32:L$1000,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1" s="11"/>
    </row>
    <row r="32" spans="1:22" x14ac:dyDescent="0.45">
      <c r="A32" s="3" t="s">
        <v>224</v>
      </c>
      <c r="B32" s="3" t="s">
        <v>282</v>
      </c>
      <c r="D32" s="3">
        <v>1</v>
      </c>
      <c r="E32" s="3">
        <v>0.65</v>
      </c>
      <c r="F32" s="3">
        <v>65</v>
      </c>
      <c r="G32" s="3" t="s">
        <v>318</v>
      </c>
      <c r="H32" s="3">
        <v>2.99</v>
      </c>
      <c r="I32" s="14">
        <f>IFERROR(DATE(MID(G32, FIND(",", G32)+2, 4), MATCH(LEFT(G32, 3), {"Jan","Feb","Mar","Apr","May","Jun","Jul","Aug","Sep","Oct","Nov","Dec"}, 0), MID(G32, 5, FIND(",", G32)-5)) + VALUE(MID(G32, FIND(":", G32)-2, 8)),I33)</f>
        <v>45925.406261574077</v>
      </c>
      <c r="J32" s="60" t="str" cm="1">
        <f t="array" ref="J32">IF(OR(ISNUMBER(SEARCH("C",B32)),ISNUMBER(SEARCH("P",B32))),IF(ISNUMBER(SEARCH("C",B32)),"Call","Put"),IF(AND(E32&lt;&gt;0,OR(C32="option exercised",C32="option assigned"),A32="buy"),_xlfn._xlws.FILTER(B$2:B$100,(LEFT(B$2:B$100,LEN(B32))=B32)*(LEN(B$2:B$100)&gt;LEN(B32))*(K$2:K$100=E32)*(I$2:I$100=I32)*(C$2:C$100=C32)*((C32="option assigned")*(ISNUMBER(SEARCH("P",B$2:B$100)))+(C32="option exercised")*(ISNUMBER(SEARCH("C",B$2:B$100)))),""),""))</f>
        <v>Call</v>
      </c>
      <c r="K32" s="9">
        <f t="shared" si="1"/>
        <v>5</v>
      </c>
      <c r="L32" s="5">
        <f t="shared" si="0"/>
        <v>1</v>
      </c>
      <c r="M32" s="5">
        <f>SUMIF(B32:B$88,B32,L32:L$88)</f>
        <v>1</v>
      </c>
      <c r="N32" s="9">
        <v>18.445699999999999</v>
      </c>
      <c r="O32" s="10" cm="1">
        <f t="array" ref="O32">IF(F32=0,_xlfn.XLOOKUP(B32,B33:B$89,O33:O$89,0,0,1),IF(_xlfn.XLOOKUP(B32,B33:B$89,M33:M$89,1,0,1)=0,IF(M32&gt;0,(F32+H32)*N32/M32,(F32-H32)*N32/-M32),IF(M32&gt;0,IF(M32&gt;_xlfn.XLOOKUP(B32,B33:B$89,M33:M$89,0,0,1),(_xlfn.XLOOKUP(B32,B33:B$89,O33:O$89,0,0,1)*_xlfn.XLOOKUP(B32,B33:B$89,M33:M$89,0,0,1)+(F32+H32)*N32+IF(_xlfn.XLOOKUP(J32,B33:B$89,J33:J$89,0,0,1)="put",-_xlfn.XLOOKUP(J32,B33:B$89,O33:O$89,0,0,1)*L32/100,_xlfn.XLOOKUP(J32,B33:B$89,O33:O$89,0,0,1)*L32/100))/M32,_xlfn.XLOOKUP(B32,B33:B$89,O33:O$89,,0,1)),IF(M32&lt;0,IF(M32&lt;_xlfn.XLOOKUP(B32,B33:B$89,M33:M$89,0,0,1),(_xlfn.XLOOKUP(B32,B33:B$89,O33:O$89,0,0,1)*_xlfn.XLOOKUP(B32,B33:B$89,M33:M$89,0,0,1)-(F32-H32)*N32)/M32,_xlfn.XLOOKUP(B32,B33:B$89,O32:O$88,,0,1)),0))))</f>
        <v>1254.1231429999998</v>
      </c>
      <c r="P32" s="10" cm="1">
        <f t="array" ref="P32">IF(_xlfn.XLOOKUP(B32,J$2:J32,J$2:J32,0,0,-1)=B32,0,IF(G32="",-H32*N32,IFERROR(IF(_xlfn.XLOOKUP(B32,B33:B$89,M33:M$89,,0,1)&lt;0,IF(M32&gt;_xlfn.XLOOKUP(B32,B33:B$89,M33:M$89,,0,1),L32*_xlfn.XLOOKUP(B32,B33:B$89,O33:O$89,,0,1)+(-F32-H32)*N32,0),IF(_xlfn.XLOOKUP(B32,B33:B$89,M33:M$89,,0,1)&gt;0,IF(M32&lt;_xlfn.XLOOKUP(B32,B33:B$89,M33:M$89,,0,1),(F32-H32)*N32-_xlfn.XLOOKUP(B32,B33:B$89,O33:O$89,,0,1)*-L32,0),0)),0)))</f>
        <v>0</v>
      </c>
      <c r="Q32" s="56">
        <v>141.197</v>
      </c>
      <c r="R32" s="56">
        <v>140.86699999999999</v>
      </c>
      <c r="S32" s="10" cm="1">
        <f t="array" ref="S32">IF(F32=0,_xlfn.XLOOKUP(B32,B33:B$89,S33:S$89,0,0,1),IF(_xlfn.XLOOKUP(B32,B33:B$89,M33:M$89,1,0,1)=0,IF(M32&gt;0,(F32+H32)*N32/M32,(F32-H32)*N32/-M32),IF(M32&gt;0,IF(M32&gt;_xlfn.XLOOKUP(B32,B33:B$89,M33:M$89,0,0,1),(_xlfn.XLOOKUP(B32,B33:B$89,S33:S$89,0,0,1)*MAX(1,Q32/_xlfn.XLOOKUP(B32,B33:B$89,Q33:Q$89,Q32,0,1))*_xlfn.XLOOKUP(B32,B33:B$89,M33:M$89,0,0,1)+(F32+H32)*N32+IF(_xlfn.XLOOKUP(J32,B33:B$89,J33:J$89,0,0,1)="put",-_xlfn.XLOOKUP(J32,B33:B$89,S33:S$89,0,0,1)*L32/100,_xlfn.XLOOKUP(J32,B33:B$89,S33:S$89,0,0,1)*L32/100))/M32,_xlfn.XLOOKUP(B32,B33:B$89,S33:S$89,,0,1)*MAX(1,Q32/_xlfn.XLOOKUP(B32,B33:B$89,Q33:Q$89,Q32,0,1))),IF(M32&lt;0,IF(M32&lt;_xlfn.XLOOKUP(B32,B33:B$89,M33:M$89,0,0,1),(_xlfn.XLOOKUP(B32,B33:B$89,S33:S$89,0,0,1)*_xlfn.XLOOKUP(B32,B33:B$89,M33:M$89,0,0,1)-(F32-H32)*N32)/M32,_xlfn.XLOOKUP(B32,B33:B$89,S33:S$89,,0,1)),0))))</f>
        <v>1254.1231429999998</v>
      </c>
      <c r="T32" s="59" cm="1">
        <f t="array" ref="T32">IF(_xlfn.XLOOKUP(B32,J$2:J32,J$2:J32,0,0,-1)=B32,0,IF(G32="",-H32*N32,IFERROR(IF(_xlfn.XLOOKUP(B32,B33:B$89,M33:M$89,,0,1)&lt;0,IF(M32&gt;_xlfn.XLOOKUP(B32,B33:B$89,M33:M$89,,0,1),L32*_xlfn.XLOOKUP(B32,B33:B$89,S33:S$89,,0,1)+(-F32-H32)*N32,0),IF(_xlfn.XLOOKUP(B32,B33:B$89,M33:M$89,,0,1)&gt;0,IF(M32&lt;_xlfn.XLOOKUP(B32,B33:B$89,M33:M$89,,0,1),(F32-H32)*N32-_xlfn.XLOOKUP(B32,B33:B$89,S33:S$89,,0,1)*-L32*MAX(1,R32/_xlfn.XLOOKUP(B32,B33:B$89,Q33:Q$89,R32,0,1)),0),0)),0)))</f>
        <v>0</v>
      </c>
      <c r="U32" s="56" t="str" cm="1">
        <f t="array" ref="U32">IF(AND(OR(J32="call",J32="put"),T32&lt;&gt;0),1,IF(T32=0,"-",IF(L32&lt;0, _xlfn.LET(_xlpm.v_cant, ABS(L32), _xlpm.v_fecha, I32, _xlpm.v_ticker, B32, _xlpm.rango_f, I33:I$1000, _xlpm.rango_t, L33:L$1000, _xlpm.filtro, B33:B$1000=_xlpm.v_ticker, _xlpm.c_fechas, _xlfn._xlws.FILTER(_xlpm.rango_f, _xlpm.filtro*(_xlpm.rango_t&gt;0), _xlpm.v_fecha), _xlpm.c_cants, _xlfn._xlws.FILTER(_xlpm.rango_t, _xlpm.filtro*(_xlpm.rango_t&gt;0), 0), _xlpm.v_acums_pasadas, ABS(SUMIFS(L33:L$1000, B33:B$1000, _xlpm.v_ticker, L33:L$1000,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32" s="11"/>
    </row>
    <row r="33" spans="1:22" x14ac:dyDescent="0.45">
      <c r="A33" s="3" t="s">
        <v>222</v>
      </c>
      <c r="B33" s="3" t="s">
        <v>319</v>
      </c>
      <c r="H33" s="3">
        <v>5.99</v>
      </c>
      <c r="I33" s="14">
        <f>IFERROR(DATE(MID(G33, FIND(",", G33)+2, 4), MATCH(LEFT(G33, 3), {"Jan","Feb","Mar","Apr","May","Jun","Jul","Aug","Sep","Oct","Nov","Dec"}, 0), MID(G33, 5, FIND(",", G33)-5)) + VALUE(MID(G33, FIND(":", G33)-2, 8)),I34)</f>
        <v>45923.642581018517</v>
      </c>
      <c r="J33" s="60" t="str" cm="1">
        <f t="array" ref="J33">IF(OR(ISNUMBER(SEARCH("C",B33)),ISNUMBER(SEARCH("P",B33))),IF(ISNUMBER(SEARCH("C",B33)),"Call","Put"),IF(AND(E33&lt;&gt;0,OR(C33="option exercised",C33="option assigned"),A33="buy"),_xlfn._xlws.FILTER(B$2:B$100,(LEFT(B$2:B$100,LEN(B33))=B33)*(LEN(B$2:B$100)&gt;LEN(B33))*(K$2:K$100=E33)*(I$2:I$100=I33)*(C$2:C$100=C33)*((C33="option assigned")*(ISNUMBER(SEARCH("P",B$2:B$100)))+(C33="option exercised")*(ISNUMBER(SEARCH("C",B$2:B$100)))),""),""))</f>
        <v>Put</v>
      </c>
      <c r="K33" s="9">
        <f t="shared" si="1"/>
        <v>0</v>
      </c>
      <c r="L33" s="5">
        <f t="shared" si="0"/>
        <v>0</v>
      </c>
      <c r="M33" s="5">
        <f>SUMIF(B33:B$88,B33,L33:L$88)</f>
        <v>0</v>
      </c>
      <c r="N33" s="9">
        <v>18.3232</v>
      </c>
      <c r="O33" s="10" cm="1">
        <f t="array" ref="O33">IF(F33=0,_xlfn.XLOOKUP(B33,B34:B$89,O34:O$89,0,0,1),IF(_xlfn.XLOOKUP(B33,B34:B$89,M34:M$89,1,0,1)=0,IF(M33&gt;0,(F33+H33)*N33/M33,(F33-H33)*N33/-M33),IF(M33&gt;0,IF(M33&gt;_xlfn.XLOOKUP(B33,B34:B$89,M34:M$89,0,0,1),(_xlfn.XLOOKUP(B33,B34:B$89,O34:O$89,0,0,1)*_xlfn.XLOOKUP(B33,B34:B$89,M34:M$89,0,0,1)+(F33+H33)*N33+IF(_xlfn.XLOOKUP(J33,B34:B$89,J34:J$89,0,0,1)="put",-_xlfn.XLOOKUP(J33,B34:B$89,O34:O$89,0,0,1)*L33/100,_xlfn.XLOOKUP(J33,B34:B$89,O34:O$89,0,0,1)*L33/100))/M33,_xlfn.XLOOKUP(B33,B34:B$89,O34:O$89,,0,1)),IF(M33&lt;0,IF(M33&lt;_xlfn.XLOOKUP(B33,B34:B$89,M34:M$89,0,0,1),(_xlfn.XLOOKUP(B33,B34:B$89,O34:O$89,0,0,1)*_xlfn.XLOOKUP(B33,B34:B$89,M34:M$89,0,0,1)-(F33-H33)*N33)/M33,_xlfn.XLOOKUP(B33,B34:B$89,O33:O$88,,0,1)),0))))</f>
        <v>0</v>
      </c>
      <c r="P33" s="10" cm="1">
        <f t="array" ref="P33">IF(_xlfn.XLOOKUP(B33,J$2:J33,J$2:J33,0,0,-1)=B33,0,IF(G33="",-H33*N33,IFERROR(IF(_xlfn.XLOOKUP(B33,B34:B$89,M34:M$89,,0,1)&lt;0,IF(M33&gt;_xlfn.XLOOKUP(B33,B34:B$89,M34:M$89,,0,1),L33*_xlfn.XLOOKUP(B33,B34:B$89,O34:O$89,,0,1)+(-F33-H33)*N33,0),IF(_xlfn.XLOOKUP(B33,B34:B$89,M34:M$89,,0,1)&gt;0,IF(M33&lt;_xlfn.XLOOKUP(B33,B34:B$89,M34:M$89,,0,1),(F33-H33)*N33-_xlfn.XLOOKUP(B33,B34:B$89,O34:O$89,,0,1)*-L33,0),0)),0)))</f>
        <v>-109.75596800000001</v>
      </c>
      <c r="Q33" s="56">
        <v>141.197</v>
      </c>
      <c r="R33" s="56">
        <v>140.86699999999999</v>
      </c>
      <c r="S33" s="10" cm="1">
        <f t="array" ref="S33">IF(F33=0,_xlfn.XLOOKUP(B33,B34:B$89,S34:S$89,0,0,1),IF(_xlfn.XLOOKUP(B33,B34:B$89,M34:M$89,1,0,1)=0,IF(M33&gt;0,(F33+H33)*N33/M33,(F33-H33)*N33/-M33),IF(M33&gt;0,IF(M33&gt;_xlfn.XLOOKUP(B33,B34:B$89,M34:M$89,0,0,1),(_xlfn.XLOOKUP(B33,B34:B$89,S34:S$89,0,0,1)*MAX(1,Q33/_xlfn.XLOOKUP(B33,B34:B$89,Q34:Q$89,Q33,0,1))*_xlfn.XLOOKUP(B33,B34:B$89,M34:M$89,0,0,1)+(F33+H33)*N33+IF(_xlfn.XLOOKUP(J33,B34:B$89,J34:J$89,0,0,1)="put",-_xlfn.XLOOKUP(J33,B34:B$89,S34:S$89,0,0,1)*L33/100,_xlfn.XLOOKUP(J33,B34:B$89,S34:S$89,0,0,1)*L33/100))/M33,_xlfn.XLOOKUP(B33,B34:B$89,S34:S$89,,0,1)*MAX(1,Q33/_xlfn.XLOOKUP(B33,B34:B$89,Q34:Q$89,Q33,0,1))),IF(M33&lt;0,IF(M33&lt;_xlfn.XLOOKUP(B33,B34:B$89,M34:M$89,0,0,1),(_xlfn.XLOOKUP(B33,B34:B$89,S34:S$89,0,0,1)*_xlfn.XLOOKUP(B33,B34:B$89,M34:M$89,0,0,1)-(F33-H33)*N33)/M33,_xlfn.XLOOKUP(B33,B34:B$89,S34:S$89,,0,1)),0))))</f>
        <v>0</v>
      </c>
      <c r="T33" s="59" cm="1">
        <f t="array" ref="T33">IF(_xlfn.XLOOKUP(B33,J$2:J33,J$2:J33,0,0,-1)=B33,0,IF(G33="",-H33*N33,IFERROR(IF(_xlfn.XLOOKUP(B33,B34:B$89,M34:M$89,,0,1)&lt;0,IF(M33&gt;_xlfn.XLOOKUP(B33,B34:B$89,M34:M$89,,0,1),L33*_xlfn.XLOOKUP(B33,B34:B$89,S34:S$89,,0,1)+(-F33-H33)*N33,0),IF(_xlfn.XLOOKUP(B33,B34:B$89,M34:M$89,,0,1)&gt;0,IF(M33&lt;_xlfn.XLOOKUP(B33,B34:B$89,M34:M$89,,0,1),(F33-H33)*N33-_xlfn.XLOOKUP(B33,B34:B$89,S34:S$89,,0,1)*-L33*MAX(1,R33/_xlfn.XLOOKUP(B33,B34:B$89,Q34:Q$89,R33,0,1)),0),0)),0)))</f>
        <v>-109.75596800000001</v>
      </c>
      <c r="U33" s="56" cm="1">
        <f t="array" ref="U33">IF(AND(OR(J33="call",J33="put"),T33&lt;&gt;0),1,IF(T33=0,"-",IF(L33&lt;0, _xlfn.LET(_xlpm.v_cant, ABS(L33), _xlpm.v_fecha, I33, _xlpm.v_ticker, B33, _xlpm.rango_f, I34:I$1000, _xlpm.rango_t, L34:L$1000, _xlpm.filtro, B34:B$1000=_xlpm.v_ticker, _xlpm.c_fechas, _xlfn._xlws.FILTER(_xlpm.rango_f, _xlpm.filtro*(_xlpm.rango_t&gt;0), _xlpm.v_fecha), _xlpm.c_cants, _xlfn._xlws.FILTER(_xlpm.rango_t, _xlpm.filtro*(_xlpm.rango_t&gt;0), 0), _xlpm.v_acums_pasadas, ABS(SUMIFS(L34:L$1000, B34:B$1000, _xlpm.v_ticker, L34:L$1000,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3" s="11"/>
    </row>
    <row r="34" spans="1:22" x14ac:dyDescent="0.45">
      <c r="A34" s="3" t="s">
        <v>224</v>
      </c>
      <c r="B34" s="3" t="s">
        <v>291</v>
      </c>
      <c r="D34" s="3">
        <v>1</v>
      </c>
      <c r="E34" s="3">
        <v>0.76</v>
      </c>
      <c r="F34" s="3">
        <v>76</v>
      </c>
      <c r="G34" s="3" t="s">
        <v>320</v>
      </c>
      <c r="I34" s="14">
        <f>IFERROR(DATE(MID(G34, FIND(",", G34)+2, 4), MATCH(LEFT(G34, 3), {"Jan","Feb","Mar","Apr","May","Jun","Jul","Aug","Sep","Oct","Nov","Dec"}, 0), MID(G34, 5, FIND(",", G34)-5)) + VALUE(MID(G34, FIND(":", G34)-2, 8)),I35)</f>
        <v>45923.642581018517</v>
      </c>
      <c r="J34" s="60" t="str" cm="1">
        <f t="array" ref="J34">IF(OR(ISNUMBER(SEARCH("C",B34)),ISNUMBER(SEARCH("P",B34))),IF(ISNUMBER(SEARCH("C",B34)),"Call","Put"),IF(AND(E34&lt;&gt;0,OR(C34="option exercised",C34="option assigned"),A34="buy"),_xlfn._xlws.FILTER(B$2:B$100,(LEFT(B$2:B$100,LEN(B34))=B34)*(LEN(B$2:B$100)&gt;LEN(B34))*(K$2:K$100=E34)*(I$2:I$100=I34)*(C$2:C$100=C34)*((C34="option assigned")*(ISNUMBER(SEARCH("P",B$2:B$100)))+(C34="option exercised")*(ISNUMBER(SEARCH("C",B$2:B$100)))),""),""))</f>
        <v>Put</v>
      </c>
      <c r="K34" s="9">
        <f t="shared" si="1"/>
        <v>35</v>
      </c>
      <c r="L34" s="5">
        <f t="shared" ref="L34:L65" si="2">IF(A34="buy",D34,-D34)</f>
        <v>1</v>
      </c>
      <c r="M34" s="5">
        <f>SUMIF(B34:B$88,B34,L34:L$88)</f>
        <v>1</v>
      </c>
      <c r="N34" s="9">
        <v>18.3232</v>
      </c>
      <c r="O34" s="10" cm="1">
        <f t="array" ref="O34">IF(F34=0,_xlfn.XLOOKUP(B34,B35:B$89,O35:O$89,0,0,1),IF(_xlfn.XLOOKUP(B34,B35:B$89,M35:M$89,1,0,1)=0,IF(M34&gt;0,(F34+H34)*N34/M34,(F34-H34)*N34/-M34),IF(M34&gt;0,IF(M34&gt;_xlfn.XLOOKUP(B34,B35:B$89,M35:M$89,0,0,1),(_xlfn.XLOOKUP(B34,B35:B$89,O35:O$89,0,0,1)*_xlfn.XLOOKUP(B34,B35:B$89,M35:M$89,0,0,1)+(F34+H34)*N34+IF(_xlfn.XLOOKUP(J34,B35:B$89,J35:J$89,0,0,1)="put",-_xlfn.XLOOKUP(J34,B35:B$89,O35:O$89,0,0,1)*L34/100,_xlfn.XLOOKUP(J34,B35:B$89,O35:O$89,0,0,1)*L34/100))/M34,_xlfn.XLOOKUP(B34,B35:B$89,O35:O$89,,0,1)),IF(M34&lt;0,IF(M34&lt;_xlfn.XLOOKUP(B34,B35:B$89,M35:M$89,0,0,1),(_xlfn.XLOOKUP(B34,B35:B$89,O35:O$89,0,0,1)*_xlfn.XLOOKUP(B34,B35:B$89,M35:M$89,0,0,1)-(F34-H34)*N34)/M34,_xlfn.XLOOKUP(B34,B35:B$89,O34:O$88,,0,1)),0))))</f>
        <v>1392.5632000000001</v>
      </c>
      <c r="P34" s="10" cm="1">
        <f t="array" ref="P34">IF(_xlfn.XLOOKUP(B34,J$2:J34,J$2:J34,0,0,-1)=B34,0,IF(G34="",-H34*N34,IFERROR(IF(_xlfn.XLOOKUP(B34,B35:B$89,M35:M$89,,0,1)&lt;0,IF(M34&gt;_xlfn.XLOOKUP(B34,B35:B$89,M35:M$89,,0,1),L34*_xlfn.XLOOKUP(B34,B35:B$89,O35:O$89,,0,1)+(-F34-H34)*N34,0),IF(_xlfn.XLOOKUP(B34,B35:B$89,M35:M$89,,0,1)&gt;0,IF(M34&lt;_xlfn.XLOOKUP(B34,B35:B$89,M35:M$89,,0,1),(F34-H34)*N34-_xlfn.XLOOKUP(B34,B35:B$89,O35:O$89,,0,1)*-L34,0),0)),0)))</f>
        <v>0</v>
      </c>
      <c r="Q34" s="56">
        <v>141.197</v>
      </c>
      <c r="R34" s="56">
        <v>140.86699999999999</v>
      </c>
      <c r="S34" s="10" cm="1">
        <f t="array" ref="S34">IF(F34=0,_xlfn.XLOOKUP(B34,B35:B$89,S35:S$89,0,0,1),IF(_xlfn.XLOOKUP(B34,B35:B$89,M35:M$89,1,0,1)=0,IF(M34&gt;0,(F34+H34)*N34/M34,(F34-H34)*N34/-M34),IF(M34&gt;0,IF(M34&gt;_xlfn.XLOOKUP(B34,B35:B$89,M35:M$89,0,0,1),(_xlfn.XLOOKUP(B34,B35:B$89,S35:S$89,0,0,1)*MAX(1,Q34/_xlfn.XLOOKUP(B34,B35:B$89,Q35:Q$89,Q34,0,1))*_xlfn.XLOOKUP(B34,B35:B$89,M35:M$89,0,0,1)+(F34+H34)*N34+IF(_xlfn.XLOOKUP(J34,B35:B$89,J35:J$89,0,0,1)="put",-_xlfn.XLOOKUP(J34,B35:B$89,S35:S$89,0,0,1)*L34/100,_xlfn.XLOOKUP(J34,B35:B$89,S35:S$89,0,0,1)*L34/100))/M34,_xlfn.XLOOKUP(B34,B35:B$89,S35:S$89,,0,1)*MAX(1,Q34/_xlfn.XLOOKUP(B34,B35:B$89,Q35:Q$89,Q34,0,1))),IF(M34&lt;0,IF(M34&lt;_xlfn.XLOOKUP(B34,B35:B$89,M35:M$89,0,0,1),(_xlfn.XLOOKUP(B34,B35:B$89,S35:S$89,0,0,1)*_xlfn.XLOOKUP(B34,B35:B$89,M35:M$89,0,0,1)-(F34-H34)*N34)/M34,_xlfn.XLOOKUP(B34,B35:B$89,S35:S$89,,0,1)),0))))</f>
        <v>1392.5632000000001</v>
      </c>
      <c r="T34" s="59" cm="1">
        <f t="array" ref="T34">IF(_xlfn.XLOOKUP(B34,J$2:J34,J$2:J34,0,0,-1)=B34,0,IF(G34="",-H34*N34,IFERROR(IF(_xlfn.XLOOKUP(B34,B35:B$89,M35:M$89,,0,1)&lt;0,IF(M34&gt;_xlfn.XLOOKUP(B34,B35:B$89,M35:M$89,,0,1),L34*_xlfn.XLOOKUP(B34,B35:B$89,S35:S$89,,0,1)+(-F34-H34)*N34,0),IF(_xlfn.XLOOKUP(B34,B35:B$89,M35:M$89,,0,1)&gt;0,IF(M34&lt;_xlfn.XLOOKUP(B34,B35:B$89,M35:M$89,,0,1),(F34-H34)*N34-_xlfn.XLOOKUP(B34,B35:B$89,S35:S$89,,0,1)*-L34*MAX(1,R34/_xlfn.XLOOKUP(B34,B35:B$89,Q35:Q$89,R34,0,1)),0),0)),0)))</f>
        <v>0</v>
      </c>
      <c r="U34" s="56" t="str" cm="1">
        <f t="array" ref="U34">IF(AND(OR(J34="call",J34="put"),T34&lt;&gt;0),1,IF(T34=0,"-",IF(L34&lt;0, _xlfn.LET(_xlpm.v_cant, ABS(L34), _xlpm.v_fecha, I34, _xlpm.v_ticker, B34, _xlpm.rango_f, I35:I$1000, _xlpm.rango_t, L35:L$1000, _xlpm.filtro, B35:B$1000=_xlpm.v_ticker, _xlpm.c_fechas, _xlfn._xlws.FILTER(_xlpm.rango_f, _xlpm.filtro*(_xlpm.rango_t&gt;0), _xlpm.v_fecha), _xlpm.c_cants, _xlfn._xlws.FILTER(_xlpm.rango_t, _xlpm.filtro*(_xlpm.rango_t&gt;0), 0), _xlpm.v_acums_pasadas, ABS(SUMIFS(L35:L$1000, B35:B$1000, _xlpm.v_ticker, L35:L$1000,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34" s="11"/>
    </row>
    <row r="35" spans="1:22" x14ac:dyDescent="0.45">
      <c r="A35" s="3" t="s">
        <v>222</v>
      </c>
      <c r="B35" s="3" t="s">
        <v>296</v>
      </c>
      <c r="D35" s="3">
        <v>1</v>
      </c>
      <c r="E35" s="3">
        <v>2.29</v>
      </c>
      <c r="F35" s="3">
        <v>229</v>
      </c>
      <c r="G35" s="3" t="s">
        <v>320</v>
      </c>
      <c r="I35" s="14">
        <f>IFERROR(DATE(MID(G35, FIND(",", G35)+2, 4), MATCH(LEFT(G35, 3), {"Jan","Feb","Mar","Apr","May","Jun","Jul","Aug","Sep","Oct","Nov","Dec"}, 0), MID(G35, 5, FIND(",", G35)-5)) + VALUE(MID(G35, FIND(":", G35)-2, 8)),I36)</f>
        <v>45923.642581018517</v>
      </c>
      <c r="J35" s="60" t="str" cm="1">
        <f t="array" ref="J35">IF(OR(ISNUMBER(SEARCH("C",B35)),ISNUMBER(SEARCH("P",B35))),IF(ISNUMBER(SEARCH("C",B35)),"Call","Put"),IF(AND(E35&lt;&gt;0,OR(C35="option exercised",C35="option assigned"),A35="buy"),_xlfn._xlws.FILTER(B$2:B$100,(LEFT(B$2:B$100,LEN(B35))=B35)*(LEN(B$2:B$100)&gt;LEN(B35))*(K$2:K$100=E35)*(I$2:I$100=I35)*(C$2:C$100=C35)*((C35="option assigned")*(ISNUMBER(SEARCH("P",B$2:B$100)))+(C35="option exercised")*(ISNUMBER(SEARCH("C",B$2:B$100)))),""),""))</f>
        <v>Put</v>
      </c>
      <c r="K35" s="9">
        <f t="shared" si="1"/>
        <v>40</v>
      </c>
      <c r="L35" s="5">
        <f t="shared" si="2"/>
        <v>-1</v>
      </c>
      <c r="M35" s="5">
        <f>SUMIF(B35:B$88,B35,L35:L$88)</f>
        <v>-1</v>
      </c>
      <c r="N35" s="9">
        <v>18.3232</v>
      </c>
      <c r="O35" s="10" cm="1">
        <f t="array" ref="O35">IF(F35=0,_xlfn.XLOOKUP(B35,B36:B$89,O36:O$89,0,0,1),IF(_xlfn.XLOOKUP(B35,B36:B$89,M36:M$89,1,0,1)=0,IF(M35&gt;0,(F35+H35)*N35/M35,(F35-H35)*N35/-M35),IF(M35&gt;0,IF(M35&gt;_xlfn.XLOOKUP(B35,B36:B$89,M36:M$89,0,0,1),(_xlfn.XLOOKUP(B35,B36:B$89,O36:O$89,0,0,1)*_xlfn.XLOOKUP(B35,B36:B$89,M36:M$89,0,0,1)+(F35+H35)*N35+IF(_xlfn.XLOOKUP(J35,B36:B$89,J36:J$89,0,0,1)="put",-_xlfn.XLOOKUP(J35,B36:B$89,O36:O$89,0,0,1)*L35/100,_xlfn.XLOOKUP(J35,B36:B$89,O36:O$89,0,0,1)*L35/100))/M35,_xlfn.XLOOKUP(B35,B36:B$89,O36:O$89,,0,1)),IF(M35&lt;0,IF(M35&lt;_xlfn.XLOOKUP(B35,B36:B$89,M36:M$89,0,0,1),(_xlfn.XLOOKUP(B35,B36:B$89,O36:O$89,0,0,1)*_xlfn.XLOOKUP(B35,B36:B$89,M36:M$89,0,0,1)-(F35-H35)*N35)/M35,_xlfn.XLOOKUP(B35,B36:B$89,O35:O$88,,0,1)),0))))</f>
        <v>4196.0128000000004</v>
      </c>
      <c r="P35" s="10" cm="1">
        <f t="array" ref="P35">IF(_xlfn.XLOOKUP(B35,J$2:J35,J$2:J35,0,0,-1)=B35,0,IF(G35="",-H35*N35,IFERROR(IF(_xlfn.XLOOKUP(B35,B36:B$89,M36:M$89,,0,1)&lt;0,IF(M35&gt;_xlfn.XLOOKUP(B35,B36:B$89,M36:M$89,,0,1),L35*_xlfn.XLOOKUP(B35,B36:B$89,O36:O$89,,0,1)+(-F35-H35)*N35,0),IF(_xlfn.XLOOKUP(B35,B36:B$89,M36:M$89,,0,1)&gt;0,IF(M35&lt;_xlfn.XLOOKUP(B35,B36:B$89,M36:M$89,,0,1),(F35-H35)*N35-_xlfn.XLOOKUP(B35,B36:B$89,O36:O$89,,0,1)*-L35,0),0)),0)))</f>
        <v>0</v>
      </c>
      <c r="Q35" s="56">
        <v>141.197</v>
      </c>
      <c r="R35" s="56">
        <v>140.86699999999999</v>
      </c>
      <c r="S35" s="10" cm="1">
        <f t="array" ref="S35">IF(F35=0,_xlfn.XLOOKUP(B35,B36:B$89,S36:S$89,0,0,1),IF(_xlfn.XLOOKUP(B35,B36:B$89,M36:M$89,1,0,1)=0,IF(M35&gt;0,(F35+H35)*N35/M35,(F35-H35)*N35/-M35),IF(M35&gt;0,IF(M35&gt;_xlfn.XLOOKUP(B35,B36:B$89,M36:M$89,0,0,1),(_xlfn.XLOOKUP(B35,B36:B$89,S36:S$89,0,0,1)*MAX(1,Q35/_xlfn.XLOOKUP(B35,B36:B$89,Q36:Q$89,Q35,0,1))*_xlfn.XLOOKUP(B35,B36:B$89,M36:M$89,0,0,1)+(F35+H35)*N35+IF(_xlfn.XLOOKUP(J35,B36:B$89,J36:J$89,0,0,1)="put",-_xlfn.XLOOKUP(J35,B36:B$89,S36:S$89,0,0,1)*L35/100,_xlfn.XLOOKUP(J35,B36:B$89,S36:S$89,0,0,1)*L35/100))/M35,_xlfn.XLOOKUP(B35,B36:B$89,S36:S$89,,0,1)*MAX(1,Q35/_xlfn.XLOOKUP(B35,B36:B$89,Q36:Q$89,Q35,0,1))),IF(M35&lt;0,IF(M35&lt;_xlfn.XLOOKUP(B35,B36:B$89,M36:M$89,0,0,1),(_xlfn.XLOOKUP(B35,B36:B$89,S36:S$89,0,0,1)*_xlfn.XLOOKUP(B35,B36:B$89,M36:M$89,0,0,1)-(F35-H35)*N35)/M35,_xlfn.XLOOKUP(B35,B36:B$89,S36:S$89,,0,1)),0))))</f>
        <v>4196.0128000000004</v>
      </c>
      <c r="T35" s="59" cm="1">
        <f t="array" ref="T35">IF(_xlfn.XLOOKUP(B35,J$2:J35,J$2:J35,0,0,-1)=B35,0,IF(G35="",-H35*N35,IFERROR(IF(_xlfn.XLOOKUP(B35,B36:B$89,M36:M$89,,0,1)&lt;0,IF(M35&gt;_xlfn.XLOOKUP(B35,B36:B$89,M36:M$89,,0,1),L35*_xlfn.XLOOKUP(B35,B36:B$89,S36:S$89,,0,1)+(-F35-H35)*N35,0),IF(_xlfn.XLOOKUP(B35,B36:B$89,M36:M$89,,0,1)&gt;0,IF(M35&lt;_xlfn.XLOOKUP(B35,B36:B$89,M36:M$89,,0,1),(F35-H35)*N35-_xlfn.XLOOKUP(B35,B36:B$89,S36:S$89,,0,1)*-L35*MAX(1,R35/_xlfn.XLOOKUP(B35,B36:B$89,Q36:Q$89,R35,0,1)),0),0)),0)))</f>
        <v>0</v>
      </c>
      <c r="U35" s="56" t="str" cm="1">
        <f t="array" ref="U35">IF(AND(OR(J35="call",J35="put"),T35&lt;&gt;0),1,IF(T35=0,"-",IF(L35&lt;0, _xlfn.LET(_xlpm.v_cant, ABS(L35), _xlpm.v_fecha, I35, _xlpm.v_ticker, B35, _xlpm.rango_f, I36:I$1000, _xlpm.rango_t, L36:L$1000, _xlpm.filtro, B36:B$1000=_xlpm.v_ticker, _xlpm.c_fechas, _xlfn._xlws.FILTER(_xlpm.rango_f, _xlpm.filtro*(_xlpm.rango_t&gt;0), _xlpm.v_fecha), _xlpm.c_cants, _xlfn._xlws.FILTER(_xlpm.rango_t, _xlpm.filtro*(_xlpm.rango_t&gt;0), 0), _xlpm.v_acums_pasadas, ABS(SUMIFS(L36:L$1000, B36:B$1000, _xlpm.v_ticker, L36:L$1000,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35" s="11"/>
    </row>
    <row r="36" spans="1:22" x14ac:dyDescent="0.45">
      <c r="A36" s="3" t="s">
        <v>224</v>
      </c>
      <c r="B36" s="3" t="s">
        <v>299</v>
      </c>
      <c r="D36" s="3">
        <v>1</v>
      </c>
      <c r="E36" s="3">
        <v>0.46</v>
      </c>
      <c r="F36" s="3">
        <v>46</v>
      </c>
      <c r="G36" s="3" t="s">
        <v>321</v>
      </c>
      <c r="H36" s="3">
        <v>2.99</v>
      </c>
      <c r="I36" s="14">
        <f>IFERROR(DATE(MID(G36, FIND(",", G36)+2, 4), MATCH(LEFT(G36, 3), {"Jan","Feb","Mar","Apr","May","Jun","Jul","Aug","Sep","Oct","Nov","Dec"}, 0), MID(G36, 5, FIND(",", G36)-5)) + VALUE(MID(G36, FIND(":", G36)-2, 8)),I37)</f>
        <v>45922.636192129627</v>
      </c>
      <c r="J36" s="60" t="str" cm="1">
        <f t="array" ref="J36">IF(OR(ISNUMBER(SEARCH("C",B36)),ISNUMBER(SEARCH("P",B36))),IF(ISNUMBER(SEARCH("C",B36)),"Call","Put"),IF(AND(E36&lt;&gt;0,OR(C36="option exercised",C36="option assigned"),A36="buy"),_xlfn._xlws.FILTER(B$2:B$100,(LEFT(B$2:B$100,LEN(B36))=B36)*(LEN(B$2:B$100)&gt;LEN(B36))*(K$2:K$100=E36)*(I$2:I$100=I36)*(C$2:C$100=C36)*((C36="option assigned")*(ISNUMBER(SEARCH("P",B$2:B$100)))+(C36="option exercised")*(ISNUMBER(SEARCH("C",B$2:B$100)))),""),""))</f>
        <v>Call</v>
      </c>
      <c r="K36" s="9">
        <f t="shared" si="1"/>
        <v>11</v>
      </c>
      <c r="L36" s="5">
        <f t="shared" si="2"/>
        <v>1</v>
      </c>
      <c r="M36" s="5">
        <f>SUMIF(B36:B$88,B36,L36:L$88)</f>
        <v>1</v>
      </c>
      <c r="N36" s="9">
        <v>18.408200000000001</v>
      </c>
      <c r="O36" s="10" cm="1">
        <f t="array" ref="O36">IF(F36=0,_xlfn.XLOOKUP(B36,B37:B$89,O37:O$89,0,0,1),IF(_xlfn.XLOOKUP(B36,B37:B$89,M37:M$89,1,0,1)=0,IF(M36&gt;0,(F36+H36)*N36/M36,(F36-H36)*N36/-M36),IF(M36&gt;0,IF(M36&gt;_xlfn.XLOOKUP(B36,B37:B$89,M37:M$89,0,0,1),(_xlfn.XLOOKUP(B36,B37:B$89,O37:O$89,0,0,1)*_xlfn.XLOOKUP(B36,B37:B$89,M37:M$89,0,0,1)+(F36+H36)*N36+IF(_xlfn.XLOOKUP(J36,B37:B$89,J37:J$89,0,0,1)="put",-_xlfn.XLOOKUP(J36,B37:B$89,O37:O$89,0,0,1)*L36/100,_xlfn.XLOOKUP(J36,B37:B$89,O37:O$89,0,0,1)*L36/100))/M36,_xlfn.XLOOKUP(B36,B37:B$89,O37:O$89,,0,1)),IF(M36&lt;0,IF(M36&lt;_xlfn.XLOOKUP(B36,B37:B$89,M37:M$89,0,0,1),(_xlfn.XLOOKUP(B36,B37:B$89,O37:O$89,0,0,1)*_xlfn.XLOOKUP(B36,B37:B$89,M37:M$89,0,0,1)-(F36-H36)*N36)/M36,_xlfn.XLOOKUP(B36,B37:B$89,O36:O$88,,0,1)),0))))</f>
        <v>901.81771800000013</v>
      </c>
      <c r="P36" s="10" cm="1">
        <f t="array" ref="P36">IF(_xlfn.XLOOKUP(B36,J$2:J36,J$2:J36,0,0,-1)=B36,0,IF(G36="",-H36*N36,IFERROR(IF(_xlfn.XLOOKUP(B36,B37:B$89,M37:M$89,,0,1)&lt;0,IF(M36&gt;_xlfn.XLOOKUP(B36,B37:B$89,M37:M$89,,0,1),L36*_xlfn.XLOOKUP(B36,B37:B$89,O37:O$89,,0,1)+(-F36-H36)*N36,0),IF(_xlfn.XLOOKUP(B36,B37:B$89,M37:M$89,,0,1)&gt;0,IF(M36&lt;_xlfn.XLOOKUP(B36,B37:B$89,M37:M$89,,0,1),(F36-H36)*N36-_xlfn.XLOOKUP(B36,B37:B$89,O37:O$89,,0,1)*-L36,0),0)),0)))</f>
        <v>0</v>
      </c>
      <c r="Q36" s="56">
        <v>141.197</v>
      </c>
      <c r="R36" s="56">
        <v>140.86699999999999</v>
      </c>
      <c r="S36" s="10" cm="1">
        <f t="array" ref="S36">IF(F36=0,_xlfn.XLOOKUP(B36,B37:B$89,S37:S$89,0,0,1),IF(_xlfn.XLOOKUP(B36,B37:B$89,M37:M$89,1,0,1)=0,IF(M36&gt;0,(F36+H36)*N36/M36,(F36-H36)*N36/-M36),IF(M36&gt;0,IF(M36&gt;_xlfn.XLOOKUP(B36,B37:B$89,M37:M$89,0,0,1),(_xlfn.XLOOKUP(B36,B37:B$89,S37:S$89,0,0,1)*MAX(1,Q36/_xlfn.XLOOKUP(B36,B37:B$89,Q37:Q$89,Q36,0,1))*_xlfn.XLOOKUP(B36,B37:B$89,M37:M$89,0,0,1)+(F36+H36)*N36+IF(_xlfn.XLOOKUP(J36,B37:B$89,J37:J$89,0,0,1)="put",-_xlfn.XLOOKUP(J36,B37:B$89,S37:S$89,0,0,1)*L36/100,_xlfn.XLOOKUP(J36,B37:B$89,S37:S$89,0,0,1)*L36/100))/M36,_xlfn.XLOOKUP(B36,B37:B$89,S37:S$89,,0,1)*MAX(1,Q36/_xlfn.XLOOKUP(B36,B37:B$89,Q37:Q$89,Q36,0,1))),IF(M36&lt;0,IF(M36&lt;_xlfn.XLOOKUP(B36,B37:B$89,M37:M$89,0,0,1),(_xlfn.XLOOKUP(B36,B37:B$89,S37:S$89,0,0,1)*_xlfn.XLOOKUP(B36,B37:B$89,M37:M$89,0,0,1)-(F36-H36)*N36)/M36,_xlfn.XLOOKUP(B36,B37:B$89,S37:S$89,,0,1)),0))))</f>
        <v>901.81771800000013</v>
      </c>
      <c r="T36" s="59" cm="1">
        <f t="array" ref="T36">IF(_xlfn.XLOOKUP(B36,J$2:J36,J$2:J36,0,0,-1)=B36,0,IF(G36="",-H36*N36,IFERROR(IF(_xlfn.XLOOKUP(B36,B37:B$89,M37:M$89,,0,1)&lt;0,IF(M36&gt;_xlfn.XLOOKUP(B36,B37:B$89,M37:M$89,,0,1),L36*_xlfn.XLOOKUP(B36,B37:B$89,S37:S$89,,0,1)+(-F36-H36)*N36,0),IF(_xlfn.XLOOKUP(B36,B37:B$89,M37:M$89,,0,1)&gt;0,IF(M36&lt;_xlfn.XLOOKUP(B36,B37:B$89,M37:M$89,,0,1),(F36-H36)*N36-_xlfn.XLOOKUP(B36,B37:B$89,S37:S$89,,0,1)*-L36*MAX(1,R36/_xlfn.XLOOKUP(B36,B37:B$89,Q37:Q$89,R36,0,1)),0),0)),0)))</f>
        <v>0</v>
      </c>
      <c r="U36" s="56" t="str" cm="1">
        <f t="array" ref="U36">IF(AND(OR(J36="call",J36="put"),T36&lt;&gt;0),1,IF(T36=0,"-",IF(L36&lt;0, _xlfn.LET(_xlpm.v_cant, ABS(L36), _xlpm.v_fecha, I36, _xlpm.v_ticker, B36, _xlpm.rango_f, I37:I$1000, _xlpm.rango_t, L37:L$1000, _xlpm.filtro, B37:B$1000=_xlpm.v_ticker, _xlpm.c_fechas, _xlfn._xlws.FILTER(_xlpm.rango_f, _xlpm.filtro*(_xlpm.rango_t&gt;0), _xlpm.v_fecha), _xlpm.c_cants, _xlfn._xlws.FILTER(_xlpm.rango_t, _xlpm.filtro*(_xlpm.rango_t&gt;0), 0), _xlpm.v_acums_pasadas, ABS(SUMIFS(L37:L$1000, B37:B$1000, _xlpm.v_ticker, L37:L$1000,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36" s="11"/>
    </row>
    <row r="37" spans="1:22" x14ac:dyDescent="0.45">
      <c r="A37" s="3" t="s">
        <v>224</v>
      </c>
      <c r="B37" s="3" t="s">
        <v>322</v>
      </c>
      <c r="H37" s="3">
        <v>9.9600000000000009</v>
      </c>
      <c r="I37" s="14">
        <f>IFERROR(DATE(MID(G37, FIND(",", G37)+2, 4), MATCH(LEFT(G37, 3), {"Jan","Feb","Mar","Apr","May","Jun","Jul","Aug","Sep","Oct","Nov","Dec"}, 0), MID(G37, 5, FIND(",", G37)-5)) + VALUE(MID(G37, FIND(":", G37)-2, 8)),I38)</f>
        <v>45919.546099537038</v>
      </c>
      <c r="J37" s="60" t="str" cm="1">
        <f t="array" ref="J37">IF(OR(ISNUMBER(SEARCH("C",B37)),ISNUMBER(SEARCH("P",B37))),IF(ISNUMBER(SEARCH("C",B37)),"Call","Put"),IF(AND(E37&lt;&gt;0,OR(C37="option exercised",C37="option assigned"),A37="buy"),_xlfn._xlws.FILTER(B$2:B$100,(LEFT(B$2:B$100,LEN(B37))=B37)*(LEN(B$2:B$100)&gt;LEN(B37))*(K$2:K$100=E37)*(I$2:I$100=I37)*(C$2:C$100=C37)*((C37="option assigned")*(ISNUMBER(SEARCH("P",B$2:B$100)))+(C37="option exercised")*(ISNUMBER(SEARCH("C",B$2:B$100)))),""),""))</f>
        <v>Call</v>
      </c>
      <c r="K37" s="9">
        <f t="shared" si="1"/>
        <v>0</v>
      </c>
      <c r="L37" s="5">
        <f t="shared" si="2"/>
        <v>0</v>
      </c>
      <c r="M37" s="5">
        <f>SUMIF(B37:B$88,B37,L37:L$88)</f>
        <v>0</v>
      </c>
      <c r="N37" s="9">
        <v>18.389199999999999</v>
      </c>
      <c r="O37" s="10" cm="1">
        <f t="array" ref="O37">IF(F37=0,_xlfn.XLOOKUP(B37,B38:B$89,O38:O$89,0,0,1),IF(_xlfn.XLOOKUP(B37,B38:B$89,M38:M$89,1,0,1)=0,IF(M37&gt;0,(F37+H37)*N37/M37,(F37-H37)*N37/-M37),IF(M37&gt;0,IF(M37&gt;_xlfn.XLOOKUP(B37,B38:B$89,M38:M$89,0,0,1),(_xlfn.XLOOKUP(B37,B38:B$89,O38:O$89,0,0,1)*_xlfn.XLOOKUP(B37,B38:B$89,M38:M$89,0,0,1)+(F37+H37)*N37+IF(_xlfn.XLOOKUP(J37,B38:B$89,J38:J$89,0,0,1)="put",-_xlfn.XLOOKUP(J37,B38:B$89,O38:O$89,0,0,1)*L37/100,_xlfn.XLOOKUP(J37,B38:B$89,O38:O$89,0,0,1)*L37/100))/M37,_xlfn.XLOOKUP(B37,B38:B$89,O38:O$89,,0,1)),IF(M37&lt;0,IF(M37&lt;_xlfn.XLOOKUP(B37,B38:B$89,M38:M$89,0,0,1),(_xlfn.XLOOKUP(B37,B38:B$89,O38:O$89,0,0,1)*_xlfn.XLOOKUP(B37,B38:B$89,M38:M$89,0,0,1)-(F37-H37)*N37)/M37,_xlfn.XLOOKUP(B37,B38:B$89,O37:O$88,,0,1)),0))))</f>
        <v>0</v>
      </c>
      <c r="P37" s="10" cm="1">
        <f t="array" ref="P37">IF(_xlfn.XLOOKUP(B37,J$2:J37,J$2:J37,0,0,-1)=B37,0,IF(G37="",-H37*N37,IFERROR(IF(_xlfn.XLOOKUP(B37,B38:B$89,M38:M$89,,0,1)&lt;0,IF(M37&gt;_xlfn.XLOOKUP(B37,B38:B$89,M38:M$89,,0,1),L37*_xlfn.XLOOKUP(B37,B38:B$89,O38:O$89,,0,1)+(-F37-H37)*N37,0),IF(_xlfn.XLOOKUP(B37,B38:B$89,M38:M$89,,0,1)&gt;0,IF(M37&lt;_xlfn.XLOOKUP(B37,B38:B$89,M38:M$89,,0,1),(F37-H37)*N37-_xlfn.XLOOKUP(B37,B38:B$89,O38:O$89,,0,1)*-L37,0),0)),0)))</f>
        <v>-183.156432</v>
      </c>
      <c r="Q37" s="56">
        <v>141.197</v>
      </c>
      <c r="R37" s="56">
        <v>140.86699999999999</v>
      </c>
      <c r="S37" s="10" cm="1">
        <f t="array" ref="S37">IF(F37=0,_xlfn.XLOOKUP(B37,B38:B$89,S38:S$89,0,0,1),IF(_xlfn.XLOOKUP(B37,B38:B$89,M38:M$89,1,0,1)=0,IF(M37&gt;0,(F37+H37)*N37/M37,(F37-H37)*N37/-M37),IF(M37&gt;0,IF(M37&gt;_xlfn.XLOOKUP(B37,B38:B$89,M38:M$89,0,0,1),(_xlfn.XLOOKUP(B37,B38:B$89,S38:S$89,0,0,1)*MAX(1,Q37/_xlfn.XLOOKUP(B37,B38:B$89,Q38:Q$89,Q37,0,1))*_xlfn.XLOOKUP(B37,B38:B$89,M38:M$89,0,0,1)+(F37+H37)*N37+IF(_xlfn.XLOOKUP(J37,B38:B$89,J38:J$89,0,0,1)="put",-_xlfn.XLOOKUP(J37,B38:B$89,S38:S$89,0,0,1)*L37/100,_xlfn.XLOOKUP(J37,B38:B$89,S38:S$89,0,0,1)*L37/100))/M37,_xlfn.XLOOKUP(B37,B38:B$89,S38:S$89,,0,1)*MAX(1,Q37/_xlfn.XLOOKUP(B37,B38:B$89,Q38:Q$89,Q37,0,1))),IF(M37&lt;0,IF(M37&lt;_xlfn.XLOOKUP(B37,B38:B$89,M38:M$89,0,0,1),(_xlfn.XLOOKUP(B37,B38:B$89,S38:S$89,0,0,1)*_xlfn.XLOOKUP(B37,B38:B$89,M38:M$89,0,0,1)-(F37-H37)*N37)/M37,_xlfn.XLOOKUP(B37,B38:B$89,S38:S$89,,0,1)),0))))</f>
        <v>0</v>
      </c>
      <c r="T37" s="59" cm="1">
        <f t="array" ref="T37">IF(_xlfn.XLOOKUP(B37,J$2:J37,J$2:J37,0,0,-1)=B37,0,IF(G37="",-H37*N37,IFERROR(IF(_xlfn.XLOOKUP(B37,B38:B$89,M38:M$89,,0,1)&lt;0,IF(M37&gt;_xlfn.XLOOKUP(B37,B38:B$89,M38:M$89,,0,1),L37*_xlfn.XLOOKUP(B37,B38:B$89,S38:S$89,,0,1)+(-F37-H37)*N37,0),IF(_xlfn.XLOOKUP(B37,B38:B$89,M38:M$89,,0,1)&gt;0,IF(M37&lt;_xlfn.XLOOKUP(B37,B38:B$89,M38:M$89,,0,1),(F37-H37)*N37-_xlfn.XLOOKUP(B37,B38:B$89,S38:S$89,,0,1)*-L37*MAX(1,R37/_xlfn.XLOOKUP(B37,B38:B$89,Q38:Q$89,R37,0,1)),0),0)),0)))</f>
        <v>-183.156432</v>
      </c>
      <c r="U37" s="56" cm="1">
        <f t="array" ref="U37">IF(AND(OR(J37="call",J37="put"),T37&lt;&gt;0),1,IF(T37=0,"-",IF(L37&lt;0, _xlfn.LET(_xlpm.v_cant, ABS(L37), _xlpm.v_fecha, I37, _xlpm.v_ticker, B37, _xlpm.rango_f, I38:I$1000, _xlpm.rango_t, L38:L$1000, _xlpm.filtro, B38:B$1000=_xlpm.v_ticker, _xlpm.c_fechas, _xlfn._xlws.FILTER(_xlpm.rango_f, _xlpm.filtro*(_xlpm.rango_t&gt;0), _xlpm.v_fecha), _xlpm.c_cants, _xlfn._xlws.FILTER(_xlpm.rango_t, _xlpm.filtro*(_xlpm.rango_t&gt;0), 0), _xlpm.v_acums_pasadas, ABS(SUMIFS(L38:L$1000, B38:B$1000, _xlpm.v_ticker, L38:L$1000,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7" s="11"/>
    </row>
    <row r="38" spans="1:22" x14ac:dyDescent="0.45">
      <c r="A38" s="3" t="s">
        <v>224</v>
      </c>
      <c r="B38" s="3" t="s">
        <v>323</v>
      </c>
      <c r="D38" s="3">
        <v>1</v>
      </c>
      <c r="E38" s="3">
        <v>0.34</v>
      </c>
      <c r="F38" s="3">
        <v>34</v>
      </c>
      <c r="G38" s="3" t="s">
        <v>324</v>
      </c>
      <c r="I38" s="14">
        <f>IFERROR(DATE(MID(G38, FIND(",", G38)+2, 4), MATCH(LEFT(G38, 3), {"Jan","Feb","Mar","Apr","May","Jun","Jul","Aug","Sep","Oct","Nov","Dec"}, 0), MID(G38, 5, FIND(",", G38)-5)) + VALUE(MID(G38, FIND(":", G38)-2, 8)),I39)</f>
        <v>45919.546099537038</v>
      </c>
      <c r="J38" s="60" t="str" cm="1">
        <f t="array" ref="J38">IF(OR(ISNUMBER(SEARCH("C",B38)),ISNUMBER(SEARCH("P",B38))),IF(ISNUMBER(SEARCH("C",B38)),"Call","Put"),IF(AND(E38&lt;&gt;0,OR(C38="option exercised",C38="option assigned"),A38="buy"),_xlfn._xlws.FILTER(B$2:B$100,(LEFT(B$2:B$100,LEN(B38))=B38)*(LEN(B$2:B$100)&gt;LEN(B38))*(K$2:K$100=E38)*(I$2:I$100=I38)*(C$2:C$100=C38)*((C38="option assigned")*(ISNUMBER(SEARCH("P",B$2:B$100)))+(C38="option exercised")*(ISNUMBER(SEARCH("C",B$2:B$100)))),""),""))</f>
        <v>Call</v>
      </c>
      <c r="K38" s="9">
        <f t="shared" si="1"/>
        <v>0</v>
      </c>
      <c r="L38" s="5">
        <f t="shared" si="2"/>
        <v>1</v>
      </c>
      <c r="M38" s="5">
        <f>SUMIF(B38:B$88,B38,L38:L$88)</f>
        <v>0</v>
      </c>
      <c r="N38" s="9">
        <v>18.389199999999999</v>
      </c>
      <c r="O38" s="10" cm="1">
        <f t="array" ref="O38">IF(F38=0,_xlfn.XLOOKUP(B38,B39:B$89,O39:O$89,0,0,1),IF(_xlfn.XLOOKUP(B38,B39:B$89,M39:M$89,1,0,1)=0,IF(M38&gt;0,(F38+H38)*N38/M38,(F38-H38)*N38/-M38),IF(M38&gt;0,IF(M38&gt;_xlfn.XLOOKUP(B38,B39:B$89,M39:M$89,0,0,1),(_xlfn.XLOOKUP(B38,B39:B$89,O39:O$89,0,0,1)*_xlfn.XLOOKUP(B38,B39:B$89,M39:M$89,0,0,1)+(F38+H38)*N38+IF(_xlfn.XLOOKUP(J38,B39:B$89,J39:J$89,0,0,1)="put",-_xlfn.XLOOKUP(J38,B39:B$89,O39:O$89,0,0,1)*L38/100,_xlfn.XLOOKUP(J38,B39:B$89,O39:O$89,0,0,1)*L38/100))/M38,_xlfn.XLOOKUP(B38,B39:B$89,O39:O$89,,0,1)),IF(M38&lt;0,IF(M38&lt;_xlfn.XLOOKUP(B38,B39:B$89,M39:M$89,0,0,1),(_xlfn.XLOOKUP(B38,B39:B$89,O39:O$89,0,0,1)*_xlfn.XLOOKUP(B38,B39:B$89,M39:M$89,0,0,1)-(F38-H38)*N38)/M38,_xlfn.XLOOKUP(B38,B39:B$89,O38:O$88,,0,1)),0))))</f>
        <v>0</v>
      </c>
      <c r="P38" s="10" cm="1">
        <f t="array" ref="P38">IF(_xlfn.XLOOKUP(B38,J$2:J38,J$2:J38,0,0,-1)=B38,0,IF(G38="",-H38*N38,IFERROR(IF(_xlfn.XLOOKUP(B38,B39:B$89,M39:M$89,,0,1)&lt;0,IF(M38&gt;_xlfn.XLOOKUP(B38,B39:B$89,M39:M$89,,0,1),L38*_xlfn.XLOOKUP(B38,B39:B$89,O39:O$89,,0,1)+(-F38-H38)*N38,0),IF(_xlfn.XLOOKUP(B38,B39:B$89,M39:M$89,,0,1)&gt;0,IF(M38&lt;_xlfn.XLOOKUP(B38,B39:B$89,M39:M$89,,0,1),(F38-H38)*N38-_xlfn.XLOOKUP(B38,B39:B$89,O39:O$89,,0,1)*-L38,0),0)),0)))</f>
        <v>219.3732</v>
      </c>
      <c r="Q38" s="56">
        <v>141.197</v>
      </c>
      <c r="R38" s="56">
        <v>140.86699999999999</v>
      </c>
      <c r="S38" s="10" cm="1">
        <f t="array" ref="S38">IF(F38=0,_xlfn.XLOOKUP(B38,B39:B$89,S39:S$89,0,0,1),IF(_xlfn.XLOOKUP(B38,B39:B$89,M39:M$89,1,0,1)=0,IF(M38&gt;0,(F38+H38)*N38/M38,(F38-H38)*N38/-M38),IF(M38&gt;0,IF(M38&gt;_xlfn.XLOOKUP(B38,B39:B$89,M39:M$89,0,0,1),(_xlfn.XLOOKUP(B38,B39:B$89,S39:S$89,0,0,1)*MAX(1,Q38/_xlfn.XLOOKUP(B38,B39:B$89,Q39:Q$89,Q38,0,1))*_xlfn.XLOOKUP(B38,B39:B$89,M39:M$89,0,0,1)+(F38+H38)*N38+IF(_xlfn.XLOOKUP(J38,B39:B$89,J39:J$89,0,0,1)="put",-_xlfn.XLOOKUP(J38,B39:B$89,S39:S$89,0,0,1)*L38/100,_xlfn.XLOOKUP(J38,B39:B$89,S39:S$89,0,0,1)*L38/100))/M38,_xlfn.XLOOKUP(B38,B39:B$89,S39:S$89,,0,1)*MAX(1,Q38/_xlfn.XLOOKUP(B38,B39:B$89,Q39:Q$89,Q38,0,1))),IF(M38&lt;0,IF(M38&lt;_xlfn.XLOOKUP(B38,B39:B$89,M39:M$89,0,0,1),(_xlfn.XLOOKUP(B38,B39:B$89,S39:S$89,0,0,1)*_xlfn.XLOOKUP(B38,B39:B$89,M39:M$89,0,0,1)-(F38-H38)*N38)/M38,_xlfn.XLOOKUP(B38,B39:B$89,S39:S$89,,0,1)),0))))</f>
        <v>0</v>
      </c>
      <c r="T38" s="59" cm="1">
        <f t="array" ref="T38">IF(_xlfn.XLOOKUP(B38,J$2:J38,J$2:J38,0,0,-1)=B38,0,IF(G38="",-H38*N38,IFERROR(IF(_xlfn.XLOOKUP(B38,B39:B$89,M39:M$89,,0,1)&lt;0,IF(M38&gt;_xlfn.XLOOKUP(B38,B39:B$89,M39:M$89,,0,1),L38*_xlfn.XLOOKUP(B38,B39:B$89,S39:S$89,,0,1)+(-F38-H38)*N38,0),IF(_xlfn.XLOOKUP(B38,B39:B$89,M39:M$89,,0,1)&gt;0,IF(M38&lt;_xlfn.XLOOKUP(B38,B39:B$89,M39:M$89,,0,1),(F38-H38)*N38-_xlfn.XLOOKUP(B38,B39:B$89,S39:S$89,,0,1)*-L38*MAX(1,R38/_xlfn.XLOOKUP(B38,B39:B$89,Q39:Q$89,R38,0,1)),0),0)),0)))</f>
        <v>219.3732</v>
      </c>
      <c r="U38" s="56" cm="1">
        <f t="array" ref="U38">IF(AND(OR(J38="call",J38="put"),T38&lt;&gt;0),1,IF(T38=0,"-",IF(L38&lt;0, _xlfn.LET(_xlpm.v_cant, ABS(L38), _xlpm.v_fecha, I38, _xlpm.v_ticker, B38, _xlpm.rango_f, I39:I$1000, _xlpm.rango_t, L39:L$1000, _xlpm.filtro, B39:B$1000=_xlpm.v_ticker, _xlpm.c_fechas, _xlfn._xlws.FILTER(_xlpm.rango_f, _xlpm.filtro*(_xlpm.rango_t&gt;0), _xlpm.v_fecha), _xlpm.c_cants, _xlfn._xlws.FILTER(_xlpm.rango_t, _xlpm.filtro*(_xlpm.rango_t&gt;0), 0), _xlpm.v_acums_pasadas, ABS(SUMIFS(L39:L$1000, B39:B$1000, _xlpm.v_ticker, L39:L$1000,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8" s="11"/>
    </row>
    <row r="39" spans="1:22" x14ac:dyDescent="0.45">
      <c r="A39" s="3" t="s">
        <v>222</v>
      </c>
      <c r="B39" s="3" t="s">
        <v>325</v>
      </c>
      <c r="D39" s="3">
        <v>2</v>
      </c>
      <c r="E39" s="3">
        <v>1.26</v>
      </c>
      <c r="F39" s="3">
        <v>252</v>
      </c>
      <c r="G39" s="3" t="s">
        <v>324</v>
      </c>
      <c r="I39" s="14">
        <f>IFERROR(DATE(MID(G39, FIND(",", G39)+2, 4), MATCH(LEFT(G39, 3), {"Jan","Feb","Mar","Apr","May","Jun","Jul","Aug","Sep","Oct","Nov","Dec"}, 0), MID(G39, 5, FIND(",", G39)-5)) + VALUE(MID(G39, FIND(":", G39)-2, 8)),I40)</f>
        <v>45919.546099537038</v>
      </c>
      <c r="J39" s="60" t="str" cm="1">
        <f t="array" ref="J39">IF(OR(ISNUMBER(SEARCH("C",B39)),ISNUMBER(SEARCH("P",B39))),IF(ISNUMBER(SEARCH("C",B39)),"Call","Put"),IF(AND(E39&lt;&gt;0,OR(C39="option exercised",C39="option assigned"),A39="buy"),_xlfn._xlws.FILTER(B$2:B$100,(LEFT(B$2:B$100,LEN(B39))=B39)*(LEN(B$2:B$100)&gt;LEN(B39))*(K$2:K$100=E39)*(I$2:I$100=I39)*(C$2:C$100=C39)*((C39="option assigned")*(ISNUMBER(SEARCH("P",B$2:B$100)))+(C39="option exercised")*(ISNUMBER(SEARCH("C",B$2:B$100)))),""),""))</f>
        <v>Call</v>
      </c>
      <c r="K39" s="9">
        <f t="shared" si="1"/>
        <v>0</v>
      </c>
      <c r="L39" s="5">
        <f t="shared" si="2"/>
        <v>-2</v>
      </c>
      <c r="M39" s="5">
        <f>SUMIF(B39:B$88,B39,L39:L$88)</f>
        <v>0</v>
      </c>
      <c r="N39" s="9">
        <v>18.389199999999999</v>
      </c>
      <c r="O39" s="10" cm="1">
        <f t="array" ref="O39">IF(F39=0,_xlfn.XLOOKUP(B39,B40:B$89,O40:O$89,0,0,1),IF(_xlfn.XLOOKUP(B39,B40:B$89,M40:M$89,1,0,1)=0,IF(M39&gt;0,(F39+H39)*N39/M39,(F39-H39)*N39/-M39),IF(M39&gt;0,IF(M39&gt;_xlfn.XLOOKUP(B39,B40:B$89,M40:M$89,0,0,1),(_xlfn.XLOOKUP(B39,B40:B$89,O40:O$89,0,0,1)*_xlfn.XLOOKUP(B39,B40:B$89,M40:M$89,0,0,1)+(F39+H39)*N39+IF(_xlfn.XLOOKUP(J39,B40:B$89,J40:J$89,0,0,1)="put",-_xlfn.XLOOKUP(J39,B40:B$89,O40:O$89,0,0,1)*L39/100,_xlfn.XLOOKUP(J39,B40:B$89,O40:O$89,0,0,1)*L39/100))/M39,_xlfn.XLOOKUP(B39,B40:B$89,O40:O$89,,0,1)),IF(M39&lt;0,IF(M39&lt;_xlfn.XLOOKUP(B39,B40:B$89,M40:M$89,0,0,1),(_xlfn.XLOOKUP(B39,B40:B$89,O40:O$89,0,0,1)*_xlfn.XLOOKUP(B39,B40:B$89,M40:M$89,0,0,1)-(F39-H39)*N39)/M39,_xlfn.XLOOKUP(B39,B40:B$89,O39:O$88,,0,1)),0))))</f>
        <v>0</v>
      </c>
      <c r="P39" s="10" cm="1">
        <f t="array" ref="P39">IF(_xlfn.XLOOKUP(B39,J$2:J39,J$2:J39,0,0,-1)=B39,0,IF(G39="",-H39*N39,IFERROR(IF(_xlfn.XLOOKUP(B39,B40:B$89,M40:M$89,,0,1)&lt;0,IF(M39&gt;_xlfn.XLOOKUP(B39,B40:B$89,M40:M$89,,0,1),L39*_xlfn.XLOOKUP(B39,B40:B$89,O40:O$89,,0,1)+(-F39-H39)*N39,0),IF(_xlfn.XLOOKUP(B39,B40:B$89,M40:M$89,,0,1)&gt;0,IF(M39&lt;_xlfn.XLOOKUP(B39,B40:B$89,M40:M$89,,0,1),(F39-H39)*N39-_xlfn.XLOOKUP(B39,B40:B$89,O40:O$89,,0,1)*-L39,0),0)),0)))</f>
        <v>1182.2103999999995</v>
      </c>
      <c r="Q39" s="56">
        <v>141.197</v>
      </c>
      <c r="R39" s="56">
        <v>140.86699999999999</v>
      </c>
      <c r="S39" s="10" cm="1">
        <f t="array" ref="S39">IF(F39=0,_xlfn.XLOOKUP(B39,B40:B$89,S40:S$89,0,0,1),IF(_xlfn.XLOOKUP(B39,B40:B$89,M40:M$89,1,0,1)=0,IF(M39&gt;0,(F39+H39)*N39/M39,(F39-H39)*N39/-M39),IF(M39&gt;0,IF(M39&gt;_xlfn.XLOOKUP(B39,B40:B$89,M40:M$89,0,0,1),(_xlfn.XLOOKUP(B39,B40:B$89,S40:S$89,0,0,1)*MAX(1,Q39/_xlfn.XLOOKUP(B39,B40:B$89,Q40:Q$89,Q39,0,1))*_xlfn.XLOOKUP(B39,B40:B$89,M40:M$89,0,0,1)+(F39+H39)*N39+IF(_xlfn.XLOOKUP(J39,B40:B$89,J40:J$89,0,0,1)="put",-_xlfn.XLOOKUP(J39,B40:B$89,S40:S$89,0,0,1)*L39/100,_xlfn.XLOOKUP(J39,B40:B$89,S40:S$89,0,0,1)*L39/100))/M39,_xlfn.XLOOKUP(B39,B40:B$89,S40:S$89,,0,1)*MAX(1,Q39/_xlfn.XLOOKUP(B39,B40:B$89,Q40:Q$89,Q39,0,1))),IF(M39&lt;0,IF(M39&lt;_xlfn.XLOOKUP(B39,B40:B$89,M40:M$89,0,0,1),(_xlfn.XLOOKUP(B39,B40:B$89,S40:S$89,0,0,1)*_xlfn.XLOOKUP(B39,B40:B$89,M40:M$89,0,0,1)-(F39-H39)*N39)/M39,_xlfn.XLOOKUP(B39,B40:B$89,S40:S$89,,0,1)),0))))</f>
        <v>0</v>
      </c>
      <c r="T39" s="59" cm="1">
        <f t="array" ref="T39">IF(_xlfn.XLOOKUP(B39,J$2:J39,J$2:J39,0,0,-1)=B39,0,IF(G39="",-H39*N39,IFERROR(IF(_xlfn.XLOOKUP(B39,B40:B$89,M40:M$89,,0,1)&lt;0,IF(M39&gt;_xlfn.XLOOKUP(B39,B40:B$89,M40:M$89,,0,1),L39*_xlfn.XLOOKUP(B39,B40:B$89,S40:S$89,,0,1)+(-F39-H39)*N39,0),IF(_xlfn.XLOOKUP(B39,B40:B$89,M40:M$89,,0,1)&gt;0,IF(M39&lt;_xlfn.XLOOKUP(B39,B40:B$89,M40:M$89,,0,1),(F39-H39)*N39-_xlfn.XLOOKUP(B39,B40:B$89,S40:S$89,,0,1)*-L39*MAX(1,R39/_xlfn.XLOOKUP(B39,B40:B$89,Q40:Q$89,R39,0,1)),0),0)),0)))</f>
        <v>1182.2103999999995</v>
      </c>
      <c r="U39" s="56" cm="1">
        <f t="array" ref="U39">IF(AND(OR(J39="call",J39="put"),T39&lt;&gt;0),1,IF(T39=0,"-",IF(L39&lt;0, _xlfn.LET(_xlpm.v_cant, ABS(L39), _xlpm.v_fecha, I39, _xlpm.v_ticker, B39, _xlpm.rango_f, I40:I$1000, _xlpm.rango_t, L40:L$1000, _xlpm.filtro, B40:B$1000=_xlpm.v_ticker, _xlpm.c_fechas, _xlfn._xlws.FILTER(_xlpm.rango_f, _xlpm.filtro*(_xlpm.rango_t&gt;0), _xlpm.v_fecha), _xlpm.c_cants, _xlfn._xlws.FILTER(_xlpm.rango_t, _xlpm.filtro*(_xlpm.rango_t&gt;0), 0), _xlpm.v_acums_pasadas, ABS(SUMIFS(L40:L$1000, B40:B$1000, _xlpm.v_ticker, L40:L$1000,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39" s="11"/>
    </row>
    <row r="40" spans="1:22" x14ac:dyDescent="0.45">
      <c r="A40" s="3" t="s">
        <v>224</v>
      </c>
      <c r="B40" s="3" t="s">
        <v>326</v>
      </c>
      <c r="D40" s="3">
        <v>1</v>
      </c>
      <c r="E40" s="3">
        <v>2.2599999999999998</v>
      </c>
      <c r="F40" s="3">
        <v>226</v>
      </c>
      <c r="G40" s="3" t="s">
        <v>324</v>
      </c>
      <c r="I40" s="14">
        <f>IFERROR(DATE(MID(G40, FIND(",", G40)+2, 4), MATCH(LEFT(G40, 3), {"Jan","Feb","Mar","Apr","May","Jun","Jul","Aug","Sep","Oct","Nov","Dec"}, 0), MID(G40, 5, FIND(",", G40)-5)) + VALUE(MID(G40, FIND(":", G40)-2, 8)),I41)</f>
        <v>45919.546099537038</v>
      </c>
      <c r="J40" s="60" t="str" cm="1">
        <f t="array" ref="J40">IF(OR(ISNUMBER(SEARCH("C",B40)),ISNUMBER(SEARCH("P",B40))),IF(ISNUMBER(SEARCH("C",B40)),"Call","Put"),IF(AND(E40&lt;&gt;0,OR(C40="option exercised",C40="option assigned"),A40="buy"),_xlfn._xlws.FILTER(B$2:B$100,(LEFT(B$2:B$100,LEN(B40))=B40)*(LEN(B$2:B$100)&gt;LEN(B40))*(K$2:K$100=E40)*(I$2:I$100=I40)*(C$2:C$100=C40)*((C40="option assigned")*(ISNUMBER(SEARCH("P",B$2:B$100)))+(C40="option exercised")*(ISNUMBER(SEARCH("C",B$2:B$100)))),""),""))</f>
        <v>Call</v>
      </c>
      <c r="K40" s="9">
        <f t="shared" si="1"/>
        <v>0</v>
      </c>
      <c r="L40" s="5">
        <f t="shared" si="2"/>
        <v>1</v>
      </c>
      <c r="M40" s="5">
        <f>SUMIF(B40:B$88,B40,L40:L$88)</f>
        <v>0</v>
      </c>
      <c r="N40" s="9">
        <v>18.389199999999999</v>
      </c>
      <c r="O40" s="10" cm="1">
        <f t="array" ref="O40">IF(F40=0,_xlfn.XLOOKUP(B40,B41:B$89,O41:O$89,0,0,1),IF(_xlfn.XLOOKUP(B40,B41:B$89,M41:M$89,1,0,1)=0,IF(M40&gt;0,(F40+H40)*N40/M40,(F40-H40)*N40/-M40),IF(M40&gt;0,IF(M40&gt;_xlfn.XLOOKUP(B40,B41:B$89,M41:M$89,0,0,1),(_xlfn.XLOOKUP(B40,B41:B$89,O41:O$89,0,0,1)*_xlfn.XLOOKUP(B40,B41:B$89,M41:M$89,0,0,1)+(F40+H40)*N40+IF(_xlfn.XLOOKUP(J40,B41:B$89,J41:J$89,0,0,1)="put",-_xlfn.XLOOKUP(J40,B41:B$89,O41:O$89,0,0,1)*L40/100,_xlfn.XLOOKUP(J40,B41:B$89,O41:O$89,0,0,1)*L40/100))/M40,_xlfn.XLOOKUP(B40,B41:B$89,O41:O$89,,0,1)),IF(M40&lt;0,IF(M40&lt;_xlfn.XLOOKUP(B40,B41:B$89,M41:M$89,0,0,1),(_xlfn.XLOOKUP(B40,B41:B$89,O41:O$89,0,0,1)*_xlfn.XLOOKUP(B40,B41:B$89,M41:M$89,0,0,1)-(F40-H40)*N40)/M40,_xlfn.XLOOKUP(B40,B41:B$89,O40:O$88,,0,1)),0))))</f>
        <v>0</v>
      </c>
      <c r="P40" s="10" cm="1">
        <f t="array" ref="P40">IF(_xlfn.XLOOKUP(B40,J$2:J40,J$2:J40,0,0,-1)=B40,0,IF(G40="",-H40*N40,IFERROR(IF(_xlfn.XLOOKUP(B40,B41:B$89,M41:M$89,,0,1)&lt;0,IF(M40&gt;_xlfn.XLOOKUP(B40,B41:B$89,M41:M$89,,0,1),L40*_xlfn.XLOOKUP(B40,B41:B$89,O41:O$89,,0,1)+(-F40-H40)*N40,0),IF(_xlfn.XLOOKUP(B40,B41:B$89,M41:M$89,,0,1)&gt;0,IF(M40&lt;_xlfn.XLOOKUP(B40,B41:B$89,M41:M$89,,0,1),(F40-H40)*N40-_xlfn.XLOOKUP(B40,B41:B$89,O41:O$89,,0,1)*-L40,0),0)),0)))</f>
        <v>-1163.116199999999</v>
      </c>
      <c r="Q40" s="56">
        <v>141.197</v>
      </c>
      <c r="R40" s="56">
        <v>140.86699999999999</v>
      </c>
      <c r="S40" s="10" cm="1">
        <f t="array" ref="S40">IF(F40=0,_xlfn.XLOOKUP(B40,B41:B$89,S41:S$89,0,0,1),IF(_xlfn.XLOOKUP(B40,B41:B$89,M41:M$89,1,0,1)=0,IF(M40&gt;0,(F40+H40)*N40/M40,(F40-H40)*N40/-M40),IF(M40&gt;0,IF(M40&gt;_xlfn.XLOOKUP(B40,B41:B$89,M41:M$89,0,0,1),(_xlfn.XLOOKUP(B40,B41:B$89,S41:S$89,0,0,1)*MAX(1,Q40/_xlfn.XLOOKUP(B40,B41:B$89,Q41:Q$89,Q40,0,1))*_xlfn.XLOOKUP(B40,B41:B$89,M41:M$89,0,0,1)+(F40+H40)*N40+IF(_xlfn.XLOOKUP(J40,B41:B$89,J41:J$89,0,0,1)="put",-_xlfn.XLOOKUP(J40,B41:B$89,S41:S$89,0,0,1)*L40/100,_xlfn.XLOOKUP(J40,B41:B$89,S41:S$89,0,0,1)*L40/100))/M40,_xlfn.XLOOKUP(B40,B41:B$89,S41:S$89,,0,1)*MAX(1,Q40/_xlfn.XLOOKUP(B40,B41:B$89,Q41:Q$89,Q40,0,1))),IF(M40&lt;0,IF(M40&lt;_xlfn.XLOOKUP(B40,B41:B$89,M41:M$89,0,0,1),(_xlfn.XLOOKUP(B40,B41:B$89,S41:S$89,0,0,1)*_xlfn.XLOOKUP(B40,B41:B$89,M41:M$89,0,0,1)-(F40-H40)*N40)/M40,_xlfn.XLOOKUP(B40,B41:B$89,S41:S$89,,0,1)),0))))</f>
        <v>0</v>
      </c>
      <c r="T40" s="59" cm="1">
        <f t="array" ref="T40">IF(_xlfn.XLOOKUP(B40,J$2:J40,J$2:J40,0,0,-1)=B40,0,IF(G40="",-H40*N40,IFERROR(IF(_xlfn.XLOOKUP(B40,B41:B$89,M41:M$89,,0,1)&lt;0,IF(M40&gt;_xlfn.XLOOKUP(B40,B41:B$89,M41:M$89,,0,1),L40*_xlfn.XLOOKUP(B40,B41:B$89,S41:S$89,,0,1)+(-F40-H40)*N40,0),IF(_xlfn.XLOOKUP(B40,B41:B$89,M41:M$89,,0,1)&gt;0,IF(M40&lt;_xlfn.XLOOKUP(B40,B41:B$89,M41:M$89,,0,1),(F40-H40)*N40-_xlfn.XLOOKUP(B40,B41:B$89,S41:S$89,,0,1)*-L40*MAX(1,R40/_xlfn.XLOOKUP(B40,B41:B$89,Q41:Q$89,R40,0,1)),0),0)),0)))</f>
        <v>-1163.116199999999</v>
      </c>
      <c r="U40" s="56" cm="1">
        <f t="array" ref="U40">IF(AND(OR(J40="call",J40="put"),T40&lt;&gt;0),1,IF(T40=0,"-",IF(L40&lt;0, _xlfn.LET(_xlpm.v_cant, ABS(L40), _xlpm.v_fecha, I40, _xlpm.v_ticker, B40, _xlpm.rango_f, I41:I$1000, _xlpm.rango_t, L41:L$1000, _xlpm.filtro, B41:B$1000=_xlpm.v_ticker, _xlpm.c_fechas, _xlfn._xlws.FILTER(_xlpm.rango_f, _xlpm.filtro*(_xlpm.rango_t&gt;0), _xlpm.v_fecha), _xlpm.c_cants, _xlfn._xlws.FILTER(_xlpm.rango_t, _xlpm.filtro*(_xlpm.rango_t&gt;0), 0), _xlpm.v_acums_pasadas, ABS(SUMIFS(L41:L$1000, B41:B$1000, _xlpm.v_ticker, L41:L$1000,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40" s="11"/>
    </row>
    <row r="41" spans="1:22" x14ac:dyDescent="0.45">
      <c r="A41" s="3" t="s">
        <v>222</v>
      </c>
      <c r="B41" s="3" t="s">
        <v>327</v>
      </c>
      <c r="D41" s="3">
        <v>1</v>
      </c>
      <c r="E41" s="3">
        <v>0.25</v>
      </c>
      <c r="F41" s="3">
        <v>25</v>
      </c>
      <c r="G41" s="3" t="s">
        <v>328</v>
      </c>
      <c r="H41" s="3">
        <v>3</v>
      </c>
      <c r="I41" s="14">
        <f>IFERROR(DATE(MID(G41, FIND(",", G41)+2, 4), MATCH(LEFT(G41, 3), {"Jan","Feb","Mar","Apr","May","Jun","Jul","Aug","Sep","Oct","Nov","Dec"}, 0), MID(G41, 5, FIND(",", G41)-5)) + VALUE(MID(G41, FIND(":", G41)-2, 8)),I42)</f>
        <v>45926.517025462963</v>
      </c>
      <c r="J41" s="60" t="str" cm="1">
        <f t="array" ref="J41">IF(OR(ISNUMBER(SEARCH("C",B41)),ISNUMBER(SEARCH("P",B41))),IF(ISNUMBER(SEARCH("C",B41)),"Call","Put"),IF(AND(E41&lt;&gt;0,OR(C41="option exercised",C41="option assigned"),A41="buy"),_xlfn._xlws.FILTER(B$2:B$100,(LEFT(B$2:B$100,LEN(B41))=B41)*(LEN(B$2:B$100)&gt;LEN(B41))*(K$2:K$100=E41)*(I$2:I$100=I41)*(C$2:C$100=C41)*((C41="option assigned")*(ISNUMBER(SEARCH("P",B$2:B$100)))+(C41="option exercised")*(ISNUMBER(SEARCH("C",B$2:B$100)))),""),""))</f>
        <v>Put</v>
      </c>
      <c r="K41" s="9">
        <f t="shared" si="1"/>
        <v>1</v>
      </c>
      <c r="L41" s="5">
        <f t="shared" si="2"/>
        <v>-1</v>
      </c>
      <c r="M41" s="5">
        <f>SUMIF(B41:B$88,B41,L41:L$88)</f>
        <v>0</v>
      </c>
      <c r="N41" s="9">
        <v>18.3825</v>
      </c>
      <c r="O41" s="10" cm="1">
        <f t="array" ref="O41">IF(F41=0,_xlfn.XLOOKUP(B41,B42:B$89,O42:O$89,0,0,1),IF(_xlfn.XLOOKUP(B41,B42:B$89,M42:M$89,1,0,1)=0,IF(M41&gt;0,(F41+H41)*N41/M41,(F41-H41)*N41/-M41),IF(M41&gt;0,IF(M41&gt;_xlfn.XLOOKUP(B41,B42:B$89,M42:M$89,0,0,1),(_xlfn.XLOOKUP(B41,B42:B$89,O42:O$89,0,0,1)*_xlfn.XLOOKUP(B41,B42:B$89,M42:M$89,0,0,1)+(F41+H41)*N41+IF(_xlfn.XLOOKUP(J41,B42:B$89,J42:J$89,0,0,1)="put",-_xlfn.XLOOKUP(J41,B42:B$89,O42:O$89,0,0,1)*L41/100,_xlfn.XLOOKUP(J41,B42:B$89,O42:O$89,0,0,1)*L41/100))/M41,_xlfn.XLOOKUP(B41,B42:B$89,O42:O$89,,0,1)),IF(M41&lt;0,IF(M41&lt;_xlfn.XLOOKUP(B41,B42:B$89,M42:M$89,0,0,1),(_xlfn.XLOOKUP(B41,B42:B$89,O42:O$89,0,0,1)*_xlfn.XLOOKUP(B41,B42:B$89,M42:M$89,0,0,1)-(F41-H41)*N41)/M41,_xlfn.XLOOKUP(B41,B42:B$89,O41:O$88,,0,1)),0))))</f>
        <v>0</v>
      </c>
      <c r="P41" s="10" cm="1">
        <f t="array" ref="P41">IF(_xlfn.XLOOKUP(B41,J$2:J41,J$2:J41,0,0,-1)=B41,0,IF(G41="",-H41*N41,IFERROR(IF(_xlfn.XLOOKUP(B41,B42:B$89,M42:M$89,,0,1)&lt;0,IF(M41&gt;_xlfn.XLOOKUP(B41,B42:B$89,M42:M$89,,0,1),L41*_xlfn.XLOOKUP(B41,B42:B$89,O42:O$89,,0,1)+(-F41-H41)*N41,0),IF(_xlfn.XLOOKUP(B41,B42:B$89,M42:M$89,,0,1)&gt;0,IF(M41&lt;_xlfn.XLOOKUP(B41,B42:B$89,M42:M$89,,0,1),(F41-H41)*N41-_xlfn.XLOOKUP(B41,B42:B$89,O42:O$89,,0,1)*-L41,0),0)),0)))</f>
        <v>85.534100000000024</v>
      </c>
      <c r="Q41" s="56">
        <v>141.197</v>
      </c>
      <c r="R41" s="56">
        <v>140.86699999999999</v>
      </c>
      <c r="S41" s="10" cm="1">
        <f t="array" ref="S41">IF(F41=0,_xlfn.XLOOKUP(B41,B42:B$89,S42:S$89,0,0,1),IF(_xlfn.XLOOKUP(B41,B42:B$89,M42:M$89,1,0,1)=0,IF(M41&gt;0,(F41+H41)*N41/M41,(F41-H41)*N41/-M41),IF(M41&gt;0,IF(M41&gt;_xlfn.XLOOKUP(B41,B42:B$89,M42:M$89,0,0,1),(_xlfn.XLOOKUP(B41,B42:B$89,S42:S$89,0,0,1)*MAX(1,Q41/_xlfn.XLOOKUP(B41,B42:B$89,Q42:Q$89,Q41,0,1))*_xlfn.XLOOKUP(B41,B42:B$89,M42:M$89,0,0,1)+(F41+H41)*N41+IF(_xlfn.XLOOKUP(J41,B42:B$89,J42:J$89,0,0,1)="put",-_xlfn.XLOOKUP(J41,B42:B$89,S42:S$89,0,0,1)*L41/100,_xlfn.XLOOKUP(J41,B42:B$89,S42:S$89,0,0,1)*L41/100))/M41,_xlfn.XLOOKUP(B41,B42:B$89,S42:S$89,,0,1)*MAX(1,Q41/_xlfn.XLOOKUP(B41,B42:B$89,Q42:Q$89,Q41,0,1))),IF(M41&lt;0,IF(M41&lt;_xlfn.XLOOKUP(B41,B42:B$89,M42:M$89,0,0,1),(_xlfn.XLOOKUP(B41,B42:B$89,S42:S$89,0,0,1)*_xlfn.XLOOKUP(B41,B42:B$89,M42:M$89,0,0,1)-(F41-H41)*N41)/M41,_xlfn.XLOOKUP(B41,B42:B$89,S42:S$89,,0,1)),0))))</f>
        <v>0</v>
      </c>
      <c r="T41" s="59" cm="1">
        <f t="array" ref="T41">IF(_xlfn.XLOOKUP(B41,J$2:J41,J$2:J41,0,0,-1)=B41,0,IF(G41="",-H41*N41,IFERROR(IF(_xlfn.XLOOKUP(B41,B42:B$89,M42:M$89,,0,1)&lt;0,IF(M41&gt;_xlfn.XLOOKUP(B41,B42:B$89,M42:M$89,,0,1),L41*_xlfn.XLOOKUP(B41,B42:B$89,S42:S$89,,0,1)+(-F41-H41)*N41,0),IF(_xlfn.XLOOKUP(B41,B42:B$89,M42:M$89,,0,1)&gt;0,IF(M41&lt;_xlfn.XLOOKUP(B41,B42:B$89,M42:M$89,,0,1),(F41-H41)*N41-_xlfn.XLOOKUP(B41,B42:B$89,S42:S$89,,0,1)*-L41*MAX(1,R41/_xlfn.XLOOKUP(B41,B42:B$89,Q42:Q$89,R41,0,1)),0),0)),0)))</f>
        <v>85.534100000000024</v>
      </c>
      <c r="U41" s="56" cm="1">
        <f t="array" ref="U41">IF(AND(OR(J41="call",J41="put"),T41&lt;&gt;0),1,IF(T41=0,"-",IF(L41&lt;0, _xlfn.LET(_xlpm.v_cant, ABS(L41), _xlpm.v_fecha, I41, _xlpm.v_ticker, B41, _xlpm.rango_f, I42:I$1000, _xlpm.rango_t, L42:L$1000, _xlpm.filtro, B42:B$1000=_xlpm.v_ticker, _xlpm.c_fechas, _xlfn._xlws.FILTER(_xlpm.rango_f, _xlpm.filtro*(_xlpm.rango_t&gt;0), _xlpm.v_fecha), _xlpm.c_cants, _xlfn._xlws.FILTER(_xlpm.rango_t, _xlpm.filtro*(_xlpm.rango_t&gt;0), 0), _xlpm.v_acums_pasadas, ABS(SUMIFS(L42:L$1000, B42:B$1000, _xlpm.v_ticker, L42:L$1000,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41" s="11"/>
    </row>
    <row r="42" spans="1:22" x14ac:dyDescent="0.45">
      <c r="A42" s="3" t="s">
        <v>222</v>
      </c>
      <c r="B42" s="3" t="s">
        <v>322</v>
      </c>
      <c r="H42" s="3">
        <v>9.9700000000000006</v>
      </c>
      <c r="I42" s="14">
        <f>IFERROR(DATE(MID(G42, FIND(",", G42)+2, 4), MATCH(LEFT(G42, 3), {"Jan","Feb","Mar","Apr","May","Jun","Jul","Aug","Sep","Oct","Nov","Dec"}, 0), MID(G42, 5, FIND(",", G42)-5)) + VALUE(MID(G42, FIND(":", G42)-2, 8)),I43)</f>
        <v>45918.579814814817</v>
      </c>
      <c r="J42" s="60" t="str" cm="1">
        <f t="array" ref="J42">IF(OR(ISNUMBER(SEARCH("C",B42)),ISNUMBER(SEARCH("P",B42))),IF(ISNUMBER(SEARCH("C",B42)),"Call","Put"),IF(AND(E42&lt;&gt;0,OR(C42="option exercised",C42="option assigned"),A42="buy"),_xlfn._xlws.FILTER(B$2:B$100,(LEFT(B$2:B$100,LEN(B42))=B42)*(LEN(B$2:B$100)&gt;LEN(B42))*(K$2:K$100=E42)*(I$2:I$100=I42)*(C$2:C$100=C42)*((C42="option assigned")*(ISNUMBER(SEARCH("P",B$2:B$100)))+(C42="option exercised")*(ISNUMBER(SEARCH("C",B$2:B$100)))),""),""))</f>
        <v>Call</v>
      </c>
      <c r="K42" s="9">
        <f t="shared" si="1"/>
        <v>0</v>
      </c>
      <c r="L42" s="5">
        <f t="shared" si="2"/>
        <v>0</v>
      </c>
      <c r="M42" s="5">
        <f>SUMIF(B42:B$88,B42,L42:L$88)</f>
        <v>0</v>
      </c>
      <c r="N42" s="9">
        <v>18.361000000000001</v>
      </c>
      <c r="O42" s="10" cm="1">
        <f t="array" ref="O42">IF(F42=0,_xlfn.XLOOKUP(B42,B43:B$89,O43:O$89,0,0,1),IF(_xlfn.XLOOKUP(B42,B43:B$89,M43:M$89,1,0,1)=0,IF(M42&gt;0,(F42+H42)*N42/M42,(F42-H42)*N42/-M42),IF(M42&gt;0,IF(M42&gt;_xlfn.XLOOKUP(B42,B43:B$89,M43:M$89,0,0,1),(_xlfn.XLOOKUP(B42,B43:B$89,O43:O$89,0,0,1)*_xlfn.XLOOKUP(B42,B43:B$89,M43:M$89,0,0,1)+(F42+H42)*N42+IF(_xlfn.XLOOKUP(J42,B43:B$89,J43:J$89,0,0,1)="put",-_xlfn.XLOOKUP(J42,B43:B$89,O43:O$89,0,0,1)*L42/100,_xlfn.XLOOKUP(J42,B43:B$89,O43:O$89,0,0,1)*L42/100))/M42,_xlfn.XLOOKUP(B42,B43:B$89,O43:O$89,,0,1)),IF(M42&lt;0,IF(M42&lt;_xlfn.XLOOKUP(B42,B43:B$89,M43:M$89,0,0,1),(_xlfn.XLOOKUP(B42,B43:B$89,O43:O$89,0,0,1)*_xlfn.XLOOKUP(B42,B43:B$89,M43:M$89,0,0,1)-(F42-H42)*N42)/M42,_xlfn.XLOOKUP(B42,B43:B$89,O42:O$88,,0,1)),0))))</f>
        <v>0</v>
      </c>
      <c r="P42" s="10" cm="1">
        <f t="array" ref="P42">IF(_xlfn.XLOOKUP(B42,J$2:J42,J$2:J42,0,0,-1)=B42,0,IF(G42="",-H42*N42,IFERROR(IF(_xlfn.XLOOKUP(B42,B43:B$89,M43:M$89,,0,1)&lt;0,IF(M42&gt;_xlfn.XLOOKUP(B42,B43:B$89,M43:M$89,,0,1),L42*_xlfn.XLOOKUP(B42,B43:B$89,O43:O$89,,0,1)+(-F42-H42)*N42,0),IF(_xlfn.XLOOKUP(B42,B43:B$89,M43:M$89,,0,1)&gt;0,IF(M42&lt;_xlfn.XLOOKUP(B42,B43:B$89,M43:M$89,,0,1),(F42-H42)*N42-_xlfn.XLOOKUP(B42,B43:B$89,O43:O$89,,0,1)*-L42,0),0)),0)))</f>
        <v>-183.05917000000002</v>
      </c>
      <c r="Q42" s="56">
        <v>141.197</v>
      </c>
      <c r="R42" s="56">
        <v>140.86699999999999</v>
      </c>
      <c r="S42" s="10" cm="1">
        <f t="array" ref="S42">IF(F42=0,_xlfn.XLOOKUP(B42,B43:B$89,S43:S$89,0,0,1),IF(_xlfn.XLOOKUP(B42,B43:B$89,M43:M$89,1,0,1)=0,IF(M42&gt;0,(F42+H42)*N42/M42,(F42-H42)*N42/-M42),IF(M42&gt;0,IF(M42&gt;_xlfn.XLOOKUP(B42,B43:B$89,M43:M$89,0,0,1),(_xlfn.XLOOKUP(B42,B43:B$89,S43:S$89,0,0,1)*MAX(1,Q42/_xlfn.XLOOKUP(B42,B43:B$89,Q43:Q$89,Q42,0,1))*_xlfn.XLOOKUP(B42,B43:B$89,M43:M$89,0,0,1)+(F42+H42)*N42+IF(_xlfn.XLOOKUP(J42,B43:B$89,J43:J$89,0,0,1)="put",-_xlfn.XLOOKUP(J42,B43:B$89,S43:S$89,0,0,1)*L42/100,_xlfn.XLOOKUP(J42,B43:B$89,S43:S$89,0,0,1)*L42/100))/M42,_xlfn.XLOOKUP(B42,B43:B$89,S43:S$89,,0,1)*MAX(1,Q42/_xlfn.XLOOKUP(B42,B43:B$89,Q43:Q$89,Q42,0,1))),IF(M42&lt;0,IF(M42&lt;_xlfn.XLOOKUP(B42,B43:B$89,M43:M$89,0,0,1),(_xlfn.XLOOKUP(B42,B43:B$89,S43:S$89,0,0,1)*_xlfn.XLOOKUP(B42,B43:B$89,M43:M$89,0,0,1)-(F42-H42)*N42)/M42,_xlfn.XLOOKUP(B42,B43:B$89,S43:S$89,,0,1)),0))))</f>
        <v>0</v>
      </c>
      <c r="T42" s="59" cm="1">
        <f t="array" ref="T42">IF(_xlfn.XLOOKUP(B42,J$2:J42,J$2:J42,0,0,-1)=B42,0,IF(G42="",-H42*N42,IFERROR(IF(_xlfn.XLOOKUP(B42,B43:B$89,M43:M$89,,0,1)&lt;0,IF(M42&gt;_xlfn.XLOOKUP(B42,B43:B$89,M43:M$89,,0,1),L42*_xlfn.XLOOKUP(B42,B43:B$89,S43:S$89,,0,1)+(-F42-H42)*N42,0),IF(_xlfn.XLOOKUP(B42,B43:B$89,M43:M$89,,0,1)&gt;0,IF(M42&lt;_xlfn.XLOOKUP(B42,B43:B$89,M43:M$89,,0,1),(F42-H42)*N42-_xlfn.XLOOKUP(B42,B43:B$89,S43:S$89,,0,1)*-L42*MAX(1,R42/_xlfn.XLOOKUP(B42,B43:B$89,Q43:Q$89,R42,0,1)),0),0)),0)))</f>
        <v>-183.05917000000002</v>
      </c>
      <c r="U42" s="56" cm="1">
        <f t="array" ref="U42">IF(AND(OR(J42="call",J42="put"),T42&lt;&gt;0),1,IF(T42=0,"-",IF(L42&lt;0, _xlfn.LET(_xlpm.v_cant, ABS(L42), _xlpm.v_fecha, I42, _xlpm.v_ticker, B42, _xlpm.rango_f, I43:I$1000, _xlpm.rango_t, L43:L$1000, _xlpm.filtro, B43:B$1000=_xlpm.v_ticker, _xlpm.c_fechas, _xlfn._xlws.FILTER(_xlpm.rango_f, _xlpm.filtro*(_xlpm.rango_t&gt;0), _xlpm.v_fecha), _xlpm.c_cants, _xlfn._xlws.FILTER(_xlpm.rango_t, _xlpm.filtro*(_xlpm.rango_t&gt;0), 0), _xlpm.v_acums_pasadas, ABS(SUMIFS(L43:L$1000, B43:B$1000, _xlpm.v_ticker, L43:L$1000,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42" s="11"/>
    </row>
    <row r="43" spans="1:22" x14ac:dyDescent="0.45">
      <c r="A43" s="3" t="s">
        <v>222</v>
      </c>
      <c r="B43" s="3" t="s">
        <v>323</v>
      </c>
      <c r="D43" s="3">
        <v>1</v>
      </c>
      <c r="E43" s="3">
        <v>0.46</v>
      </c>
      <c r="F43" s="3">
        <v>46</v>
      </c>
      <c r="G43" s="3" t="s">
        <v>329</v>
      </c>
      <c r="I43" s="14">
        <f>IFERROR(DATE(MID(G43, FIND(",", G43)+2, 4), MATCH(LEFT(G43, 3), {"Jan","Feb","Mar","Apr","May","Jun","Jul","Aug","Sep","Oct","Nov","Dec"}, 0), MID(G43, 5, FIND(",", G43)-5)) + VALUE(MID(G43, FIND(":", G43)-2, 8)),I44)</f>
        <v>45918.579814814817</v>
      </c>
      <c r="J43" s="60" t="str" cm="1">
        <f t="array" ref="J43">IF(OR(ISNUMBER(SEARCH("C",B43)),ISNUMBER(SEARCH("P",B43))),IF(ISNUMBER(SEARCH("C",B43)),"Call","Put"),IF(AND(E43&lt;&gt;0,OR(C43="option exercised",C43="option assigned"),A43="buy"),_xlfn._xlws.FILTER(B$2:B$100,(LEFT(B$2:B$100,LEN(B43))=B43)*(LEN(B$2:B$100)&gt;LEN(B43))*(K$2:K$100=E43)*(I$2:I$100=I43)*(C$2:C$100=C43)*((C43="option assigned")*(ISNUMBER(SEARCH("P",B$2:B$100)))+(C43="option exercised")*(ISNUMBER(SEARCH("C",B$2:B$100)))),""),""))</f>
        <v>Call</v>
      </c>
      <c r="K43" s="9">
        <f t="shared" si="1"/>
        <v>0</v>
      </c>
      <c r="L43" s="5">
        <f t="shared" si="2"/>
        <v>-1</v>
      </c>
      <c r="M43" s="5">
        <f>SUMIF(B43:B$88,B43,L43:L$88)</f>
        <v>-1</v>
      </c>
      <c r="N43" s="9">
        <v>18.361000000000001</v>
      </c>
      <c r="O43" s="10" cm="1">
        <f t="array" ref="O43">IF(F43=0,_xlfn.XLOOKUP(B43,B44:B$89,O44:O$89,0,0,1),IF(_xlfn.XLOOKUP(B43,B44:B$89,M44:M$89,1,0,1)=0,IF(M43&gt;0,(F43+H43)*N43/M43,(F43-H43)*N43/-M43),IF(M43&gt;0,IF(M43&gt;_xlfn.XLOOKUP(B43,B44:B$89,M44:M$89,0,0,1),(_xlfn.XLOOKUP(B43,B44:B$89,O44:O$89,0,0,1)*_xlfn.XLOOKUP(B43,B44:B$89,M44:M$89,0,0,1)+(F43+H43)*N43+IF(_xlfn.XLOOKUP(J43,B44:B$89,J44:J$89,0,0,1)="put",-_xlfn.XLOOKUP(J43,B44:B$89,O44:O$89,0,0,1)*L43/100,_xlfn.XLOOKUP(J43,B44:B$89,O44:O$89,0,0,1)*L43/100))/M43,_xlfn.XLOOKUP(B43,B44:B$89,O44:O$89,,0,1)),IF(M43&lt;0,IF(M43&lt;_xlfn.XLOOKUP(B43,B44:B$89,M44:M$89,0,0,1),(_xlfn.XLOOKUP(B43,B44:B$89,O44:O$89,0,0,1)*_xlfn.XLOOKUP(B43,B44:B$89,M44:M$89,0,0,1)-(F43-H43)*N43)/M43,_xlfn.XLOOKUP(B43,B44:B$89,O43:O$88,,0,1)),0))))</f>
        <v>844.60599999999999</v>
      </c>
      <c r="P43" s="10" cm="1">
        <f t="array" ref="P43">IF(_xlfn.XLOOKUP(B43,J$2:J43,J$2:J43,0,0,-1)=B43,0,IF(G43="",-H43*N43,IFERROR(IF(_xlfn.XLOOKUP(B43,B44:B$89,M44:M$89,,0,1)&lt;0,IF(M43&gt;_xlfn.XLOOKUP(B43,B44:B$89,M44:M$89,,0,1),L43*_xlfn.XLOOKUP(B43,B44:B$89,O44:O$89,,0,1)+(-F43-H43)*N43,0),IF(_xlfn.XLOOKUP(B43,B44:B$89,M44:M$89,,0,1)&gt;0,IF(M43&lt;_xlfn.XLOOKUP(B43,B44:B$89,M44:M$89,,0,1),(F43-H43)*N43-_xlfn.XLOOKUP(B43,B44:B$89,O44:O$89,,0,1)*-L43,0),0)),0)))</f>
        <v>0</v>
      </c>
      <c r="Q43" s="56">
        <v>141.197</v>
      </c>
      <c r="R43" s="56">
        <v>140.86699999999999</v>
      </c>
      <c r="S43" s="10" cm="1">
        <f t="array" ref="S43">IF(F43=0,_xlfn.XLOOKUP(B43,B44:B$89,S44:S$89,0,0,1),IF(_xlfn.XLOOKUP(B43,B44:B$89,M44:M$89,1,0,1)=0,IF(M43&gt;0,(F43+H43)*N43/M43,(F43-H43)*N43/-M43),IF(M43&gt;0,IF(M43&gt;_xlfn.XLOOKUP(B43,B44:B$89,M44:M$89,0,0,1),(_xlfn.XLOOKUP(B43,B44:B$89,S44:S$89,0,0,1)*MAX(1,Q43/_xlfn.XLOOKUP(B43,B44:B$89,Q44:Q$89,Q43,0,1))*_xlfn.XLOOKUP(B43,B44:B$89,M44:M$89,0,0,1)+(F43+H43)*N43+IF(_xlfn.XLOOKUP(J43,B44:B$89,J44:J$89,0,0,1)="put",-_xlfn.XLOOKUP(J43,B44:B$89,S44:S$89,0,0,1)*L43/100,_xlfn.XLOOKUP(J43,B44:B$89,S44:S$89,0,0,1)*L43/100))/M43,_xlfn.XLOOKUP(B43,B44:B$89,S44:S$89,,0,1)*MAX(1,Q43/_xlfn.XLOOKUP(B43,B44:B$89,Q44:Q$89,Q43,0,1))),IF(M43&lt;0,IF(M43&lt;_xlfn.XLOOKUP(B43,B44:B$89,M44:M$89,0,0,1),(_xlfn.XLOOKUP(B43,B44:B$89,S44:S$89,0,0,1)*_xlfn.XLOOKUP(B43,B44:B$89,M44:M$89,0,0,1)-(F43-H43)*N43)/M43,_xlfn.XLOOKUP(B43,B44:B$89,S44:S$89,,0,1)),0))))</f>
        <v>844.60599999999999</v>
      </c>
      <c r="T43" s="59" cm="1">
        <f t="array" ref="T43">IF(_xlfn.XLOOKUP(B43,J$2:J43,J$2:J43,0,0,-1)=B43,0,IF(G43="",-H43*N43,IFERROR(IF(_xlfn.XLOOKUP(B43,B44:B$89,M44:M$89,,0,1)&lt;0,IF(M43&gt;_xlfn.XLOOKUP(B43,B44:B$89,M44:M$89,,0,1),L43*_xlfn.XLOOKUP(B43,B44:B$89,S44:S$89,,0,1)+(-F43-H43)*N43,0),IF(_xlfn.XLOOKUP(B43,B44:B$89,M44:M$89,,0,1)&gt;0,IF(M43&lt;_xlfn.XLOOKUP(B43,B44:B$89,M44:M$89,,0,1),(F43-H43)*N43-_xlfn.XLOOKUP(B43,B44:B$89,S44:S$89,,0,1)*-L43*MAX(1,R43/_xlfn.XLOOKUP(B43,B44:B$89,Q44:Q$89,R43,0,1)),0),0)),0)))</f>
        <v>0</v>
      </c>
      <c r="U43" s="56" t="str" cm="1">
        <f t="array" ref="U43">IF(AND(OR(J43="call",J43="put"),T43&lt;&gt;0),1,IF(T43=0,"-",IF(L43&lt;0, _xlfn.LET(_xlpm.v_cant, ABS(L43), _xlpm.v_fecha, I43, _xlpm.v_ticker, B43, _xlpm.rango_f, I44:I$1000, _xlpm.rango_t, L44:L$1000, _xlpm.filtro, B44:B$1000=_xlpm.v_ticker, _xlpm.c_fechas, _xlfn._xlws.FILTER(_xlpm.rango_f, _xlpm.filtro*(_xlpm.rango_t&gt;0), _xlpm.v_fecha), _xlpm.c_cants, _xlfn._xlws.FILTER(_xlpm.rango_t, _xlpm.filtro*(_xlpm.rango_t&gt;0), 0), _xlpm.v_acums_pasadas, ABS(SUMIFS(L44:L$1000, B44:B$1000, _xlpm.v_ticker, L44:L$1000,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43" s="11"/>
    </row>
    <row r="44" spans="1:22" x14ac:dyDescent="0.45">
      <c r="A44" s="3" t="s">
        <v>224</v>
      </c>
      <c r="B44" s="3" t="s">
        <v>325</v>
      </c>
      <c r="D44" s="3">
        <v>2</v>
      </c>
      <c r="E44" s="3">
        <v>0.94</v>
      </c>
      <c r="F44" s="3">
        <v>188</v>
      </c>
      <c r="G44" s="3" t="s">
        <v>329</v>
      </c>
      <c r="I44" s="14">
        <f>IFERROR(DATE(MID(G44, FIND(",", G44)+2, 4), MATCH(LEFT(G44, 3), {"Jan","Feb","Mar","Apr","May","Jun","Jul","Aug","Sep","Oct","Nov","Dec"}, 0), MID(G44, 5, FIND(",", G44)-5)) + VALUE(MID(G44, FIND(":", G44)-2, 8)),I45)</f>
        <v>45918.579814814817</v>
      </c>
      <c r="J44" s="60" t="str" cm="1">
        <f t="array" ref="J44">IF(OR(ISNUMBER(SEARCH("C",B44)),ISNUMBER(SEARCH("P",B44))),IF(ISNUMBER(SEARCH("C",B44)),"Call","Put"),IF(AND(E44&lt;&gt;0,OR(C44="option exercised",C44="option assigned"),A44="buy"),_xlfn._xlws.FILTER(B$2:B$100,(LEFT(B$2:B$100,LEN(B44))=B44)*(LEN(B$2:B$100)&gt;LEN(B44))*(K$2:K$100=E44)*(I$2:I$100=I44)*(C$2:C$100=C44)*((C44="option assigned")*(ISNUMBER(SEARCH("P",B$2:B$100)))+(C44="option exercised")*(ISNUMBER(SEARCH("C",B$2:B$100)))),""),""))</f>
        <v>Call</v>
      </c>
      <c r="K44" s="9">
        <f t="shared" si="1"/>
        <v>0</v>
      </c>
      <c r="L44" s="5">
        <f t="shared" si="2"/>
        <v>2</v>
      </c>
      <c r="M44" s="5">
        <f>SUMIF(B44:B$88,B44,L44:L$88)</f>
        <v>2</v>
      </c>
      <c r="N44" s="9">
        <v>18.361000000000001</v>
      </c>
      <c r="O44" s="10" cm="1">
        <f t="array" ref="O44">IF(F44=0,_xlfn.XLOOKUP(B44,B45:B$89,O45:O$89,0,0,1),IF(_xlfn.XLOOKUP(B44,B45:B$89,M45:M$89,1,0,1)=0,IF(M44&gt;0,(F44+H44)*N44/M44,(F44-H44)*N44/-M44),IF(M44&gt;0,IF(M44&gt;_xlfn.XLOOKUP(B44,B45:B$89,M45:M$89,0,0,1),(_xlfn.XLOOKUP(B44,B45:B$89,O45:O$89,0,0,1)*_xlfn.XLOOKUP(B44,B45:B$89,M45:M$89,0,0,1)+(F44+H44)*N44+IF(_xlfn.XLOOKUP(J44,B45:B$89,J45:J$89,0,0,1)="put",-_xlfn.XLOOKUP(J44,B45:B$89,O45:O$89,0,0,1)*L44/100,_xlfn.XLOOKUP(J44,B45:B$89,O45:O$89,0,0,1)*L44/100))/M44,_xlfn.XLOOKUP(B44,B45:B$89,O45:O$89,,0,1)),IF(M44&lt;0,IF(M44&lt;_xlfn.XLOOKUP(B44,B45:B$89,M45:M$89,0,0,1),(_xlfn.XLOOKUP(B44,B45:B$89,O45:O$89,0,0,1)*_xlfn.XLOOKUP(B44,B45:B$89,M45:M$89,0,0,1)-(F44-H44)*N44)/M44,_xlfn.XLOOKUP(B44,B45:B$89,O44:O$88,,0,1)),0))))</f>
        <v>1725.934</v>
      </c>
      <c r="P44" s="10" cm="1">
        <f t="array" ref="P44">IF(_xlfn.XLOOKUP(B44,J$2:J44,J$2:J44,0,0,-1)=B44,0,IF(G44="",-H44*N44,IFERROR(IF(_xlfn.XLOOKUP(B44,B45:B$89,M45:M$89,,0,1)&lt;0,IF(M44&gt;_xlfn.XLOOKUP(B44,B45:B$89,M45:M$89,,0,1),L44*_xlfn.XLOOKUP(B44,B45:B$89,O45:O$89,,0,1)+(-F44-H44)*N44,0),IF(_xlfn.XLOOKUP(B44,B45:B$89,M45:M$89,,0,1)&gt;0,IF(M44&lt;_xlfn.XLOOKUP(B44,B45:B$89,M45:M$89,,0,1),(F44-H44)*N44-_xlfn.XLOOKUP(B44,B45:B$89,O45:O$89,,0,1)*-L44,0),0)),0)))</f>
        <v>0</v>
      </c>
      <c r="Q44" s="56">
        <v>141.197</v>
      </c>
      <c r="R44" s="56">
        <v>140.86699999999999</v>
      </c>
      <c r="S44" s="10" cm="1">
        <f t="array" ref="S44">IF(F44=0,_xlfn.XLOOKUP(B44,B45:B$89,S45:S$89,0,0,1),IF(_xlfn.XLOOKUP(B44,B45:B$89,M45:M$89,1,0,1)=0,IF(M44&gt;0,(F44+H44)*N44/M44,(F44-H44)*N44/-M44),IF(M44&gt;0,IF(M44&gt;_xlfn.XLOOKUP(B44,B45:B$89,M45:M$89,0,0,1),(_xlfn.XLOOKUP(B44,B45:B$89,S45:S$89,0,0,1)*MAX(1,Q44/_xlfn.XLOOKUP(B44,B45:B$89,Q45:Q$89,Q44,0,1))*_xlfn.XLOOKUP(B44,B45:B$89,M45:M$89,0,0,1)+(F44+H44)*N44+IF(_xlfn.XLOOKUP(J44,B45:B$89,J45:J$89,0,0,1)="put",-_xlfn.XLOOKUP(J44,B45:B$89,S45:S$89,0,0,1)*L44/100,_xlfn.XLOOKUP(J44,B45:B$89,S45:S$89,0,0,1)*L44/100))/M44,_xlfn.XLOOKUP(B44,B45:B$89,S45:S$89,,0,1)*MAX(1,Q44/_xlfn.XLOOKUP(B44,B45:B$89,Q45:Q$89,Q44,0,1))),IF(M44&lt;0,IF(M44&lt;_xlfn.XLOOKUP(B44,B45:B$89,M45:M$89,0,0,1),(_xlfn.XLOOKUP(B44,B45:B$89,S45:S$89,0,0,1)*_xlfn.XLOOKUP(B44,B45:B$89,M45:M$89,0,0,1)-(F44-H44)*N44)/M44,_xlfn.XLOOKUP(B44,B45:B$89,S45:S$89,,0,1)),0))))</f>
        <v>1725.934</v>
      </c>
      <c r="T44" s="59" cm="1">
        <f t="array" ref="T44">IF(_xlfn.XLOOKUP(B44,J$2:J44,J$2:J44,0,0,-1)=B44,0,IF(G44="",-H44*N44,IFERROR(IF(_xlfn.XLOOKUP(B44,B45:B$89,M45:M$89,,0,1)&lt;0,IF(M44&gt;_xlfn.XLOOKUP(B44,B45:B$89,M45:M$89,,0,1),L44*_xlfn.XLOOKUP(B44,B45:B$89,S45:S$89,,0,1)+(-F44-H44)*N44,0),IF(_xlfn.XLOOKUP(B44,B45:B$89,M45:M$89,,0,1)&gt;0,IF(M44&lt;_xlfn.XLOOKUP(B44,B45:B$89,M45:M$89,,0,1),(F44-H44)*N44-_xlfn.XLOOKUP(B44,B45:B$89,S45:S$89,,0,1)*-L44*MAX(1,R44/_xlfn.XLOOKUP(B44,B45:B$89,Q45:Q$89,R44,0,1)),0),0)),0)))</f>
        <v>0</v>
      </c>
      <c r="U44" s="56" t="str" cm="1">
        <f t="array" ref="U44">IF(AND(OR(J44="call",J44="put"),T44&lt;&gt;0),1,IF(T44=0,"-",IF(L44&lt;0, _xlfn.LET(_xlpm.v_cant, ABS(L44), _xlpm.v_fecha, I44, _xlpm.v_ticker, B44, _xlpm.rango_f, I45:I$1000, _xlpm.rango_t, L45:L$1000, _xlpm.filtro, B45:B$1000=_xlpm.v_ticker, _xlpm.c_fechas, _xlfn._xlws.FILTER(_xlpm.rango_f, _xlpm.filtro*(_xlpm.rango_t&gt;0), _xlpm.v_fecha), _xlpm.c_cants, _xlfn._xlws.FILTER(_xlpm.rango_t, _xlpm.filtro*(_xlpm.rango_t&gt;0), 0), _xlpm.v_acums_pasadas, ABS(SUMIFS(L45:L$1000, B45:B$1000, _xlpm.v_ticker, L45:L$1000,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44" s="11"/>
    </row>
    <row r="45" spans="1:22" x14ac:dyDescent="0.45">
      <c r="A45" s="3" t="s">
        <v>222</v>
      </c>
      <c r="B45" s="3" t="s">
        <v>326</v>
      </c>
      <c r="D45" s="3">
        <v>1</v>
      </c>
      <c r="E45" s="3">
        <v>1.63</v>
      </c>
      <c r="F45" s="3">
        <v>163</v>
      </c>
      <c r="G45" s="3" t="s">
        <v>329</v>
      </c>
      <c r="I45" s="14">
        <f>IFERROR(DATE(MID(G45, FIND(",", G45)+2, 4), MATCH(LEFT(G45, 3), {"Jan","Feb","Mar","Apr","May","Jun","Jul","Aug","Sep","Oct","Nov","Dec"}, 0), MID(G45, 5, FIND(",", G45)-5)) + VALUE(MID(G45, FIND(":", G45)-2, 8)),I46)</f>
        <v>45918.579814814817</v>
      </c>
      <c r="J45" s="60" t="str" cm="1">
        <f t="array" ref="J45">IF(OR(ISNUMBER(SEARCH("C",B45)),ISNUMBER(SEARCH("P",B45))),IF(ISNUMBER(SEARCH("C",B45)),"Call","Put"),IF(AND(E45&lt;&gt;0,OR(C45="option exercised",C45="option assigned"),A45="buy"),_xlfn._xlws.FILTER(B$2:B$100,(LEFT(B$2:B$100,LEN(B45))=B45)*(LEN(B$2:B$100)&gt;LEN(B45))*(K$2:K$100=E45)*(I$2:I$100=I45)*(C$2:C$100=C45)*((C45="option assigned")*(ISNUMBER(SEARCH("P",B$2:B$100)))+(C45="option exercised")*(ISNUMBER(SEARCH("C",B$2:B$100)))),""),""))</f>
        <v>Call</v>
      </c>
      <c r="K45" s="9">
        <f t="shared" si="1"/>
        <v>0</v>
      </c>
      <c r="L45" s="5">
        <f t="shared" si="2"/>
        <v>-1</v>
      </c>
      <c r="M45" s="5">
        <f>SUMIF(B45:B$88,B45,L45:L$88)</f>
        <v>-1</v>
      </c>
      <c r="N45" s="9">
        <v>18.361000000000001</v>
      </c>
      <c r="O45" s="10" cm="1">
        <f t="array" ref="O45">IF(F45=0,_xlfn.XLOOKUP(B45,B46:B$89,O46:O$89,0,0,1),IF(_xlfn.XLOOKUP(B45,B46:B$89,M46:M$89,1,0,1)=0,IF(M45&gt;0,(F45+H45)*N45/M45,(F45-H45)*N45/-M45),IF(M45&gt;0,IF(M45&gt;_xlfn.XLOOKUP(B45,B46:B$89,M46:M$89,0,0,1),(_xlfn.XLOOKUP(B45,B46:B$89,O46:O$89,0,0,1)*_xlfn.XLOOKUP(B45,B46:B$89,M46:M$89,0,0,1)+(F45+H45)*N45+IF(_xlfn.XLOOKUP(J45,B46:B$89,J46:J$89,0,0,1)="put",-_xlfn.XLOOKUP(J45,B46:B$89,O46:O$89,0,0,1)*L45/100,_xlfn.XLOOKUP(J45,B46:B$89,O46:O$89,0,0,1)*L45/100))/M45,_xlfn.XLOOKUP(B45,B46:B$89,O46:O$89,,0,1)),IF(M45&lt;0,IF(M45&lt;_xlfn.XLOOKUP(B45,B46:B$89,M46:M$89,0,0,1),(_xlfn.XLOOKUP(B45,B46:B$89,O46:O$89,0,0,1)*_xlfn.XLOOKUP(B45,B46:B$89,M46:M$89,0,0,1)-(F45-H45)*N45)/M45,_xlfn.XLOOKUP(B45,B46:B$89,O45:O$88,,0,1)),0))))</f>
        <v>2992.8430000000003</v>
      </c>
      <c r="P45" s="10" cm="1">
        <f t="array" ref="P45">IF(_xlfn.XLOOKUP(B45,J$2:J45,J$2:J45,0,0,-1)=B45,0,IF(G45="",-H45*N45,IFERROR(IF(_xlfn.XLOOKUP(B45,B46:B$89,M46:M$89,,0,1)&lt;0,IF(M45&gt;_xlfn.XLOOKUP(B45,B46:B$89,M46:M$89,,0,1),L45*_xlfn.XLOOKUP(B45,B46:B$89,O46:O$89,,0,1)+(-F45-H45)*N45,0),IF(_xlfn.XLOOKUP(B45,B46:B$89,M46:M$89,,0,1)&gt;0,IF(M45&lt;_xlfn.XLOOKUP(B45,B46:B$89,M46:M$89,,0,1),(F45-H45)*N45-_xlfn.XLOOKUP(B45,B46:B$89,O46:O$89,,0,1)*-L45,0),0)),0)))</f>
        <v>0</v>
      </c>
      <c r="Q45" s="56">
        <v>141.197</v>
      </c>
      <c r="R45" s="56">
        <v>140.86699999999999</v>
      </c>
      <c r="S45" s="10" cm="1">
        <f t="array" ref="S45">IF(F45=0,_xlfn.XLOOKUP(B45,B46:B$89,S46:S$89,0,0,1),IF(_xlfn.XLOOKUP(B45,B46:B$89,M46:M$89,1,0,1)=0,IF(M45&gt;0,(F45+H45)*N45/M45,(F45-H45)*N45/-M45),IF(M45&gt;0,IF(M45&gt;_xlfn.XLOOKUP(B45,B46:B$89,M46:M$89,0,0,1),(_xlfn.XLOOKUP(B45,B46:B$89,S46:S$89,0,0,1)*MAX(1,Q45/_xlfn.XLOOKUP(B45,B46:B$89,Q46:Q$89,Q45,0,1))*_xlfn.XLOOKUP(B45,B46:B$89,M46:M$89,0,0,1)+(F45+H45)*N45+IF(_xlfn.XLOOKUP(J45,B46:B$89,J46:J$89,0,0,1)="put",-_xlfn.XLOOKUP(J45,B46:B$89,S46:S$89,0,0,1)*L45/100,_xlfn.XLOOKUP(J45,B46:B$89,S46:S$89,0,0,1)*L45/100))/M45,_xlfn.XLOOKUP(B45,B46:B$89,S46:S$89,,0,1)*MAX(1,Q45/_xlfn.XLOOKUP(B45,B46:B$89,Q46:Q$89,Q45,0,1))),IF(M45&lt;0,IF(M45&lt;_xlfn.XLOOKUP(B45,B46:B$89,M46:M$89,0,0,1),(_xlfn.XLOOKUP(B45,B46:B$89,S46:S$89,0,0,1)*_xlfn.XLOOKUP(B45,B46:B$89,M46:M$89,0,0,1)-(F45-H45)*N45)/M45,_xlfn.XLOOKUP(B45,B46:B$89,S46:S$89,,0,1)),0))))</f>
        <v>2992.8430000000003</v>
      </c>
      <c r="T45" s="59" cm="1">
        <f t="array" ref="T45">IF(_xlfn.XLOOKUP(B45,J$2:J45,J$2:J45,0,0,-1)=B45,0,IF(G45="",-H45*N45,IFERROR(IF(_xlfn.XLOOKUP(B45,B46:B$89,M46:M$89,,0,1)&lt;0,IF(M45&gt;_xlfn.XLOOKUP(B45,B46:B$89,M46:M$89,,0,1),L45*_xlfn.XLOOKUP(B45,B46:B$89,S46:S$89,,0,1)+(-F45-H45)*N45,0),IF(_xlfn.XLOOKUP(B45,B46:B$89,M46:M$89,,0,1)&gt;0,IF(M45&lt;_xlfn.XLOOKUP(B45,B46:B$89,M46:M$89,,0,1),(F45-H45)*N45-_xlfn.XLOOKUP(B45,B46:B$89,S46:S$89,,0,1)*-L45*MAX(1,R45/_xlfn.XLOOKUP(B45,B46:B$89,Q46:Q$89,R45,0,1)),0),0)),0)))</f>
        <v>0</v>
      </c>
      <c r="U45" s="56" t="str" cm="1">
        <f t="array" ref="U45">IF(AND(OR(J45="call",J45="put"),T45&lt;&gt;0),1,IF(T45=0,"-",IF(L45&lt;0, _xlfn.LET(_xlpm.v_cant, ABS(L45), _xlpm.v_fecha, I45, _xlpm.v_ticker, B45, _xlpm.rango_f, I46:I$1000, _xlpm.rango_t, L46:L$1000, _xlpm.filtro, B46:B$1000=_xlpm.v_ticker, _xlpm.c_fechas, _xlfn._xlws.FILTER(_xlpm.rango_f, _xlpm.filtro*(_xlpm.rango_t&gt;0), _xlpm.v_fecha), _xlpm.c_cants, _xlfn._xlws.FILTER(_xlpm.rango_t, _xlpm.filtro*(_xlpm.rango_t&gt;0), 0), _xlpm.v_acums_pasadas, ABS(SUMIFS(L46:L$1000, B46:B$1000, _xlpm.v_ticker, L46:L$1000,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45" s="11"/>
    </row>
    <row r="46" spans="1:22" ht="32" x14ac:dyDescent="0.45">
      <c r="A46" s="3" t="s">
        <v>224</v>
      </c>
      <c r="B46" s="3" t="s">
        <v>330</v>
      </c>
      <c r="C46" s="3" t="s">
        <v>535</v>
      </c>
      <c r="D46" s="3">
        <v>100</v>
      </c>
      <c r="E46" s="3">
        <v>6</v>
      </c>
      <c r="F46" s="3">
        <v>600</v>
      </c>
      <c r="G46" s="3" t="s">
        <v>331</v>
      </c>
      <c r="H46" s="3">
        <v>0</v>
      </c>
      <c r="I46" s="14">
        <f>IFERROR(DATE(MID(G46, FIND(",", G46)+2, 4), MATCH(LEFT(G46, 3), {"Jan","Feb","Mar","Apr","May","Jun","Jul","Aug","Sep","Oct","Nov","Dec"}, 0), MID(G46, 5, FIND(",", G46)-5)) + VALUE(MID(G46, FIND(":", G46)-2, 8)),I47)</f>
        <v>45916.076296296298</v>
      </c>
      <c r="J46" s="60" t="str" cm="1">
        <f t="array" ref="J46">IF(OR(ISNUMBER(SEARCH("C",B46)),ISNUMBER(SEARCH("P",B46))),IF(ISNUMBER(SEARCH("C",B46)),"Call","Put"),IF(AND(E46&lt;&gt;0,OR(C46="option exercised",C46="option assigned"),A46="buy"),_xlfn._xlws.FILTER(B$2:B$100,(LEFT(B$2:B$100,LEN(B46))=B46)*(LEN(B$2:B$100)&gt;LEN(B46))*(K$2:K$100=E46)*(I$2:I$100=I46)*(C$2:C$100=C46)*((C46="option assigned")*(ISNUMBER(SEARCH("P",B$2:B$100)))+(C46="option exercised")*(ISNUMBER(SEARCH("C",B$2:B$100)))),""),""))</f>
        <v>ATYR251017P6000</v>
      </c>
      <c r="K46" s="9">
        <f t="shared" si="1"/>
        <v>0</v>
      </c>
      <c r="L46" s="5">
        <f t="shared" si="2"/>
        <v>100</v>
      </c>
      <c r="M46" s="5">
        <f>SUMIF(B46:B$88,B46,L46:L$88)</f>
        <v>100</v>
      </c>
      <c r="N46" s="9">
        <v>18.363499999999998</v>
      </c>
      <c r="O46" s="10" cm="1">
        <f t="array" ref="O46">IF(F46=0,_xlfn.XLOOKUP(B46,B47:B$89,O47:O$89,0,0,1),IF(_xlfn.XLOOKUP(B46,B47:B$89,M47:M$89,1,0,1)=0,IF(M46&gt;0,(F46+H46)*N46/M46,(F46-H46)*N46/-M46),IF(M46&gt;0,IF(M46&gt;_xlfn.XLOOKUP(B46,B47:B$89,M47:M$89,0,0,1),(_xlfn.XLOOKUP(B46,B47:B$89,O47:O$89,0,0,1)*_xlfn.XLOOKUP(B46,B47:B$89,M47:M$89,0,0,1)+(F46+H46)*N46+IF(_xlfn.XLOOKUP(J46,B47:B$89,J47:J$89,0,0,1)="put",-_xlfn.XLOOKUP(J46,B47:B$89,O47:O$89,0,0,1)*L46/100,_xlfn.XLOOKUP(J46,B47:B$89,O47:O$89,0,0,1)*L46/100))/M46,_xlfn.XLOOKUP(B46,B47:B$89,O47:O$89,,0,1)),IF(M46&lt;0,IF(M46&lt;_xlfn.XLOOKUP(B46,B47:B$89,M47:M$89,0,0,1),(_xlfn.XLOOKUP(B46,B47:B$89,O47:O$89,0,0,1)*_xlfn.XLOOKUP(B46,B47:B$89,M47:M$89,0,0,1)-(F46-H46)*N46)/M46,_xlfn.XLOOKUP(B46,B47:B$89,O46:O$88,,0,1)),0))))</f>
        <v>42.653279999999988</v>
      </c>
      <c r="P46" s="10" cm="1">
        <f t="array" ref="P46">IF(_xlfn.XLOOKUP(B46,J$2:J46,J$2:J46,0,0,-1)=B46,0,IF(G46="",-H46*N46,IFERROR(IF(_xlfn.XLOOKUP(B46,B47:B$89,M47:M$89,,0,1)&lt;0,IF(M46&gt;_xlfn.XLOOKUP(B46,B47:B$89,M47:M$89,,0,1),L46*_xlfn.XLOOKUP(B46,B47:B$89,O47:O$89,,0,1)+(-F46-H46)*N46,0),IF(_xlfn.XLOOKUP(B46,B47:B$89,M47:M$89,,0,1)&gt;0,IF(M46&lt;_xlfn.XLOOKUP(B46,B47:B$89,M47:M$89,,0,1),(F46-H46)*N46-_xlfn.XLOOKUP(B46,B47:B$89,O47:O$89,,0,1)*-L46,0),0)),0)))</f>
        <v>0</v>
      </c>
      <c r="Q46" s="56">
        <v>141.197</v>
      </c>
      <c r="R46" s="56">
        <v>140.86699999999999</v>
      </c>
      <c r="S46" s="10" cm="1">
        <f t="array" ref="S46">IF(F46=0,_xlfn.XLOOKUP(B46,B47:B$89,S47:S$89,0,0,1),IF(_xlfn.XLOOKUP(B46,B47:B$89,M47:M$89,1,0,1)=0,IF(M46&gt;0,(F46+H46)*N46/M46,(F46-H46)*N46/-M46),IF(M46&gt;0,IF(M46&gt;_xlfn.XLOOKUP(B46,B47:B$89,M47:M$89,0,0,1),(_xlfn.XLOOKUP(B46,B47:B$89,S47:S$89,0,0,1)*MAX(1,Q46/_xlfn.XLOOKUP(B46,B47:B$89,Q47:Q$89,Q46,0,1))*_xlfn.XLOOKUP(B46,B47:B$89,M47:M$89,0,0,1)+(F46+H46)*N46+IF(_xlfn.XLOOKUP(J46,B47:B$89,J47:J$89,0,0,1)="put",-_xlfn.XLOOKUP(J46,B47:B$89,S47:S$89,0,0,1)*L46/100,_xlfn.XLOOKUP(J46,B47:B$89,S47:S$89,0,0,1)*L46/100))/M46,_xlfn.XLOOKUP(B46,B47:B$89,S47:S$89,,0,1)*MAX(1,Q46/_xlfn.XLOOKUP(B46,B47:B$89,Q47:Q$89,Q46,0,1))),IF(M46&lt;0,IF(M46&lt;_xlfn.XLOOKUP(B46,B47:B$89,M47:M$89,0,0,1),(_xlfn.XLOOKUP(B46,B47:B$89,S47:S$89,0,0,1)*_xlfn.XLOOKUP(B46,B47:B$89,M47:M$89,0,0,1)-(F46-H46)*N46)/M46,_xlfn.XLOOKUP(B46,B47:B$89,S47:S$89,,0,1)),0))))</f>
        <v>42.653279999999988</v>
      </c>
      <c r="T46" s="59" cm="1">
        <f t="array" ref="T46">IF(_xlfn.XLOOKUP(B46,J$2:J46,J$2:J46,0,0,-1)=B46,0,IF(G46="",-H46*N46,IFERROR(IF(_xlfn.XLOOKUP(B46,B47:B$89,M47:M$89,,0,1)&lt;0,IF(M46&gt;_xlfn.XLOOKUP(B46,B47:B$89,M47:M$89,,0,1),L46*_xlfn.XLOOKUP(B46,B47:B$89,S47:S$89,,0,1)+(-F46-H46)*N46,0),IF(_xlfn.XLOOKUP(B46,B47:B$89,M47:M$89,,0,1)&gt;0,IF(M46&lt;_xlfn.XLOOKUP(B46,B47:B$89,M47:M$89,,0,1),(F46-H46)*N46-_xlfn.XLOOKUP(B46,B47:B$89,S47:S$89,,0,1)*-L46*MAX(1,R46/_xlfn.XLOOKUP(B46,B47:B$89,Q47:Q$89,R46,0,1)),0),0)),0)))</f>
        <v>0</v>
      </c>
      <c r="U46" s="56" t="str" cm="1">
        <f t="array" ref="U46">IF(AND(OR(J46="call",J46="put"),T46&lt;&gt;0),1,IF(T46=0,"-",IF(L46&lt;0, _xlfn.LET(_xlpm.v_cant, ABS(L46), _xlpm.v_fecha, I46, _xlpm.v_ticker, B46, _xlpm.rango_f, I47:I$1000, _xlpm.rango_t, L47:L$1000, _xlpm.filtro, B47:B$1000=_xlpm.v_ticker, _xlpm.c_fechas, _xlfn._xlws.FILTER(_xlpm.rango_f, _xlpm.filtro*(_xlpm.rango_t&gt;0), _xlpm.v_fecha), _xlpm.c_cants, _xlfn._xlws.FILTER(_xlpm.rango_t, _xlpm.filtro*(_xlpm.rango_t&gt;0), 0), _xlpm.v_acums_pasadas, ABS(SUMIFS(L47:L$1000, B47:B$1000, _xlpm.v_ticker, L47:L$1000,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46" s="11"/>
    </row>
    <row r="47" spans="1:22" x14ac:dyDescent="0.45">
      <c r="A47" s="3" t="s">
        <v>224</v>
      </c>
      <c r="B47" s="3" t="s">
        <v>332</v>
      </c>
      <c r="C47" s="3" t="s">
        <v>535</v>
      </c>
      <c r="D47" s="3">
        <v>1</v>
      </c>
      <c r="E47" s="3">
        <v>0</v>
      </c>
      <c r="F47" s="3">
        <v>0</v>
      </c>
      <c r="G47" s="3" t="s">
        <v>331</v>
      </c>
      <c r="H47" s="3">
        <v>0</v>
      </c>
      <c r="I47" s="14">
        <f>IFERROR(DATE(MID(G47, FIND(",", G47)+2, 4), MATCH(LEFT(G47, 3), {"Jan","Feb","Mar","Apr","May","Jun","Jul","Aug","Sep","Oct","Nov","Dec"}, 0), MID(G47, 5, FIND(",", G47)-5)) + VALUE(MID(G47, FIND(":", G47)-2, 8)),I48)</f>
        <v>45916.076296296298</v>
      </c>
      <c r="J47" s="60" t="str" cm="1">
        <f t="array" ref="J47">IF(OR(ISNUMBER(SEARCH("C",B47)),ISNUMBER(SEARCH("P",B47))),IF(ISNUMBER(SEARCH("C",B47)),"Call","Put"),IF(AND(E47&lt;&gt;0,OR(C47="option exercised",C47="option assigned"),A47="buy"),_xlfn._xlws.FILTER(B$2:B$100,(LEFT(B$2:B$100,LEN(B47))=B47)*(LEN(B$2:B$100)&gt;LEN(B47))*(K$2:K$100=E47)*(I$2:I$100=I47)*(C$2:C$100=C47)*((C47="option assigned")*(ISNUMBER(SEARCH("P",B$2:B$100)))+(C47="option exercised")*(ISNUMBER(SEARCH("C",B$2:B$100)))),""),""))</f>
        <v>Put</v>
      </c>
      <c r="K47" s="9">
        <f t="shared" si="1"/>
        <v>6</v>
      </c>
      <c r="L47" s="5">
        <f t="shared" si="2"/>
        <v>1</v>
      </c>
      <c r="M47" s="5">
        <f>SUMIF(B47:B$88,B47,L47:L$88)</f>
        <v>0</v>
      </c>
      <c r="N47" s="9">
        <v>18.363499999999998</v>
      </c>
      <c r="O47" s="10" cm="1">
        <f t="array" ref="O47">IF(F47=0,_xlfn.XLOOKUP(B47,B48:B$89,O48:O$89,0,0,1),IF(_xlfn.XLOOKUP(B47,B48:B$89,M48:M$89,1,0,1)=0,IF(M47&gt;0,(F47+H47)*N47/M47,(F47-H47)*N47/-M47),IF(M47&gt;0,IF(M47&gt;_xlfn.XLOOKUP(B47,B48:B$89,M48:M$89,0,0,1),(_xlfn.XLOOKUP(B47,B48:B$89,O48:O$89,0,0,1)*_xlfn.XLOOKUP(B47,B48:B$89,M48:M$89,0,0,1)+(F47+H47)*N47+IF(_xlfn.XLOOKUP(J47,B48:B$89,J48:J$89,0,0,1)="put",-_xlfn.XLOOKUP(J47,B48:B$89,O48:O$89,0,0,1)*L47/100,_xlfn.XLOOKUP(J47,B48:B$89,O48:O$89,0,0,1)*L47/100))/M47,_xlfn.XLOOKUP(B47,B48:B$89,O48:O$89,,0,1)),IF(M47&lt;0,IF(M47&lt;_xlfn.XLOOKUP(B47,B48:B$89,M48:M$89,0,0,1),(_xlfn.XLOOKUP(B47,B48:B$89,O48:O$89,0,0,1)*_xlfn.XLOOKUP(B47,B48:B$89,M48:M$89,0,0,1)-(F47-H47)*N47)/M47,_xlfn.XLOOKUP(B47,B48:B$89,O47:O$88,,0,1)),0))))</f>
        <v>6752.7719999999999</v>
      </c>
      <c r="P47" s="10" cm="1">
        <f t="array" ref="P47">IF(_xlfn.XLOOKUP(B47,J$2:J47,J$2:J47,0,0,-1)=B47,0,IF(G47="",-H47*N47,IFERROR(IF(_xlfn.XLOOKUP(B47,B48:B$89,M48:M$89,,0,1)&lt;0,IF(M47&gt;_xlfn.XLOOKUP(B47,B48:B$89,M48:M$89,,0,1),L47*_xlfn.XLOOKUP(B47,B48:B$89,O48:O$89,,0,1)+(-F47-H47)*N47,0),IF(_xlfn.XLOOKUP(B47,B48:B$89,M48:M$89,,0,1)&gt;0,IF(M47&lt;_xlfn.XLOOKUP(B47,B48:B$89,M48:M$89,,0,1),(F47-H47)*N47-_xlfn.XLOOKUP(B47,B48:B$89,O48:O$89,,0,1)*-L47,0),0)),0)))</f>
        <v>0</v>
      </c>
      <c r="Q47" s="56">
        <v>141.197</v>
      </c>
      <c r="R47" s="56">
        <v>140.86699999999999</v>
      </c>
      <c r="S47" s="10" cm="1">
        <f t="array" ref="S47">IF(F47=0,_xlfn.XLOOKUP(B47,B48:B$89,S48:S$89,0,0,1),IF(_xlfn.XLOOKUP(B47,B48:B$89,M48:M$89,1,0,1)=0,IF(M47&gt;0,(F47+H47)*N47/M47,(F47-H47)*N47/-M47),IF(M47&gt;0,IF(M47&gt;_xlfn.XLOOKUP(B47,B48:B$89,M48:M$89,0,0,1),(_xlfn.XLOOKUP(B47,B48:B$89,S48:S$89,0,0,1)*MAX(1,Q47/_xlfn.XLOOKUP(B47,B48:B$89,Q48:Q$89,Q47,0,1))*_xlfn.XLOOKUP(B47,B48:B$89,M48:M$89,0,0,1)+(F47+H47)*N47+IF(_xlfn.XLOOKUP(J47,B48:B$89,J48:J$89,0,0,1)="put",-_xlfn.XLOOKUP(J47,B48:B$89,S48:S$89,0,0,1)*L47/100,_xlfn.XLOOKUP(J47,B48:B$89,S48:S$89,0,0,1)*L47/100))/M47,_xlfn.XLOOKUP(B47,B48:B$89,S48:S$89,,0,1)*MAX(1,Q47/_xlfn.XLOOKUP(B47,B48:B$89,Q48:Q$89,Q47,0,1))),IF(M47&lt;0,IF(M47&lt;_xlfn.XLOOKUP(B47,B48:B$89,M48:M$89,0,0,1),(_xlfn.XLOOKUP(B47,B48:B$89,S48:S$89,0,0,1)*_xlfn.XLOOKUP(B47,B48:B$89,M48:M$89,0,0,1)-(F47-H47)*N47)/M47,_xlfn.XLOOKUP(B47,B48:B$89,S48:S$89,,0,1)),0))))</f>
        <v>6752.7719999999999</v>
      </c>
      <c r="T47" s="59" cm="1">
        <f t="array" ref="T47">IF(_xlfn.XLOOKUP(B47,J$2:J47,J$2:J47,0,0,-1)=B47,0,IF(G47="",-H47*N47,IFERROR(IF(_xlfn.XLOOKUP(B47,B48:B$89,M48:M$89,,0,1)&lt;0,IF(M47&gt;_xlfn.XLOOKUP(B47,B48:B$89,M48:M$89,,0,1),L47*_xlfn.XLOOKUP(B47,B48:B$89,S48:S$89,,0,1)+(-F47-H47)*N47,0),IF(_xlfn.XLOOKUP(B47,B48:B$89,M48:M$89,,0,1)&gt;0,IF(M47&lt;_xlfn.XLOOKUP(B47,B48:B$89,M48:M$89,,0,1),(F47-H47)*N47-_xlfn.XLOOKUP(B47,B48:B$89,S48:S$89,,0,1)*-L47*MAX(1,R47/_xlfn.XLOOKUP(B47,B48:B$89,Q48:Q$89,R47,0,1)),0),0)),0)))</f>
        <v>0</v>
      </c>
      <c r="U47" s="56" t="str" cm="1">
        <f t="array" ref="U47">IF(AND(OR(J47="call",J47="put"),T47&lt;&gt;0),1,IF(T47=0,"-",IF(L47&lt;0, _xlfn.LET(_xlpm.v_cant, ABS(L47), _xlpm.v_fecha, I47, _xlpm.v_ticker, B47, _xlpm.rango_f, I48:I$1000, _xlpm.rango_t, L48:L$1000, _xlpm.filtro, B48:B$1000=_xlpm.v_ticker, _xlpm.c_fechas, _xlfn._xlws.FILTER(_xlpm.rango_f, _xlpm.filtro*(_xlpm.rango_t&gt;0), _xlpm.v_fecha), _xlpm.c_cants, _xlfn._xlws.FILTER(_xlpm.rango_t, _xlpm.filtro*(_xlpm.rango_t&gt;0), 0), _xlpm.v_acums_pasadas, ABS(SUMIFS(L48:L$1000, B48:B$1000, _xlpm.v_ticker, L48:L$1000,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47" s="11"/>
    </row>
    <row r="48" spans="1:22" x14ac:dyDescent="0.45">
      <c r="A48" s="3" t="s">
        <v>222</v>
      </c>
      <c r="B48" s="3" t="s">
        <v>333</v>
      </c>
      <c r="D48" s="3">
        <v>1</v>
      </c>
      <c r="E48" s="3">
        <v>0.81</v>
      </c>
      <c r="F48" s="3">
        <v>81</v>
      </c>
      <c r="G48" s="3" t="s">
        <v>334</v>
      </c>
      <c r="H48" s="3">
        <v>3</v>
      </c>
      <c r="I48" s="14">
        <f>IFERROR(DATE(MID(G48, FIND(",", G48)+2, 4), MATCH(LEFT(G48, 3), {"Jan","Feb","Mar","Apr","May","Jun","Jul","Aug","Sep","Oct","Nov","Dec"}, 0), MID(G48, 5, FIND(",", G48)-5)) + VALUE(MID(G48, FIND(":", G48)-2, 8)),I49)</f>
        <v>45916.405069444445</v>
      </c>
      <c r="J48" s="60" t="str" cm="1">
        <f t="array" ref="J48">IF(OR(ISNUMBER(SEARCH("C",B48)),ISNUMBER(SEARCH("P",B48))),IF(ISNUMBER(SEARCH("C",B48)),"Call","Put"),IF(AND(E48&lt;&gt;0,OR(C48="option exercised",C48="option assigned"),A48="buy"),_xlfn._xlws.FILTER(B$2:B$100,(LEFT(B$2:B$100,LEN(B48))=B48)*(LEN(B$2:B$100)&gt;LEN(B48))*(K$2:K$100=E48)*(I$2:I$100=I48)*(C$2:C$100=C48)*((C48="option assigned")*(ISNUMBER(SEARCH("P",B$2:B$100)))+(C48="option exercised")*(ISNUMBER(SEARCH("C",B$2:B$100)))),""),""))</f>
        <v>Call</v>
      </c>
      <c r="K48" s="9">
        <f t="shared" si="1"/>
        <v>7</v>
      </c>
      <c r="L48" s="5">
        <f t="shared" si="2"/>
        <v>-1</v>
      </c>
      <c r="M48" s="5">
        <f>SUMIF(B48:B$88,B48,L48:L$88)</f>
        <v>0</v>
      </c>
      <c r="N48" s="9">
        <v>18.363499999999998</v>
      </c>
      <c r="O48" s="10" cm="1">
        <f t="array" ref="O48">IF(F48=0,_xlfn.XLOOKUP(B48,B49:B$89,O49:O$89,0,0,1),IF(_xlfn.XLOOKUP(B48,B49:B$89,M49:M$89,1,0,1)=0,IF(M48&gt;0,(F48+H48)*N48/M48,(F48-H48)*N48/-M48),IF(M48&gt;0,IF(M48&gt;_xlfn.XLOOKUP(B48,B49:B$89,M49:M$89,0,0,1),(_xlfn.XLOOKUP(B48,B49:B$89,O49:O$89,0,0,1)*_xlfn.XLOOKUP(B48,B49:B$89,M49:M$89,0,0,1)+(F48+H48)*N48+IF(_xlfn.XLOOKUP(J48,B49:B$89,J49:J$89,0,0,1)="put",-_xlfn.XLOOKUP(J48,B49:B$89,O49:O$89,0,0,1)*L48/100,_xlfn.XLOOKUP(J48,B49:B$89,O49:O$89,0,0,1)*L48/100))/M48,_xlfn.XLOOKUP(B48,B49:B$89,O49:O$89,,0,1)),IF(M48&lt;0,IF(M48&lt;_xlfn.XLOOKUP(B48,B49:B$89,M49:M$89,0,0,1),(_xlfn.XLOOKUP(B48,B49:B$89,O49:O$89,0,0,1)*_xlfn.XLOOKUP(B48,B49:B$89,M49:M$89,0,0,1)-(F48-H48)*N48)/M48,_xlfn.XLOOKUP(B48,B49:B$89,O48:O$88,,0,1)),0))))</f>
        <v>0</v>
      </c>
      <c r="P48" s="10" cm="1">
        <f t="array" ref="P48">IF(_xlfn.XLOOKUP(B48,J$2:J48,J$2:J48,0,0,-1)=B48,0,IF(G48="",-H48*N48,IFERROR(IF(_xlfn.XLOOKUP(B48,B49:B$89,M49:M$89,,0,1)&lt;0,IF(M48&gt;_xlfn.XLOOKUP(B48,B49:B$89,M49:M$89,,0,1),L48*_xlfn.XLOOKUP(B48,B49:B$89,O49:O$89,,0,1)+(-F48-H48)*N48,0),IF(_xlfn.XLOOKUP(B48,B49:B$89,M49:M$89,,0,1)&gt;0,IF(M48&lt;_xlfn.XLOOKUP(B48,B49:B$89,M49:M$89,,0,1),(F48-H48)*N48-_xlfn.XLOOKUP(B48,B49:B$89,O49:O$89,,0,1)*-L48,0),0)),0)))</f>
        <v>423.58764299999973</v>
      </c>
      <c r="Q48" s="56">
        <v>141.197</v>
      </c>
      <c r="R48" s="56">
        <v>140.86699999999999</v>
      </c>
      <c r="S48" s="10" cm="1">
        <f t="array" ref="S48">IF(F48=0,_xlfn.XLOOKUP(B48,B49:B$89,S49:S$89,0,0,1),IF(_xlfn.XLOOKUP(B48,B49:B$89,M49:M$89,1,0,1)=0,IF(M48&gt;0,(F48+H48)*N48/M48,(F48-H48)*N48/-M48),IF(M48&gt;0,IF(M48&gt;_xlfn.XLOOKUP(B48,B49:B$89,M49:M$89,0,0,1),(_xlfn.XLOOKUP(B48,B49:B$89,S49:S$89,0,0,1)*MAX(1,Q48/_xlfn.XLOOKUP(B48,B49:B$89,Q49:Q$89,Q48,0,1))*_xlfn.XLOOKUP(B48,B49:B$89,M49:M$89,0,0,1)+(F48+H48)*N48+IF(_xlfn.XLOOKUP(J48,B49:B$89,J49:J$89,0,0,1)="put",-_xlfn.XLOOKUP(J48,B49:B$89,S49:S$89,0,0,1)*L48/100,_xlfn.XLOOKUP(J48,B49:B$89,S49:S$89,0,0,1)*L48/100))/M48,_xlfn.XLOOKUP(B48,B49:B$89,S49:S$89,,0,1)*MAX(1,Q48/_xlfn.XLOOKUP(B48,B49:B$89,Q49:Q$89,Q48,0,1))),IF(M48&lt;0,IF(M48&lt;_xlfn.XLOOKUP(B48,B49:B$89,M49:M$89,0,0,1),(_xlfn.XLOOKUP(B48,B49:B$89,S49:S$89,0,0,1)*_xlfn.XLOOKUP(B48,B49:B$89,M49:M$89,0,0,1)-(F48-H48)*N48)/M48,_xlfn.XLOOKUP(B48,B49:B$89,S49:S$89,,0,1)),0))))</f>
        <v>0</v>
      </c>
      <c r="T48" s="59" cm="1">
        <f t="array" ref="T48">IF(_xlfn.XLOOKUP(B48,J$2:J48,J$2:J48,0,0,-1)=B48,0,IF(G48="",-H48*N48,IFERROR(IF(_xlfn.XLOOKUP(B48,B49:B$89,M49:M$89,,0,1)&lt;0,IF(M48&gt;_xlfn.XLOOKUP(B48,B49:B$89,M49:M$89,,0,1),L48*_xlfn.XLOOKUP(B48,B49:B$89,S49:S$89,,0,1)+(-F48-H48)*N48,0),IF(_xlfn.XLOOKUP(B48,B49:B$89,M49:M$89,,0,1)&gt;0,IF(M48&lt;_xlfn.XLOOKUP(B48,B49:B$89,M49:M$89,,0,1),(F48-H48)*N48-_xlfn.XLOOKUP(B48,B49:B$89,S49:S$89,,0,1)*-L48*MAX(1,R48/_xlfn.XLOOKUP(B48,B49:B$89,Q49:Q$89,R48,0,1)),0),0)),0)))</f>
        <v>423.58764299999973</v>
      </c>
      <c r="U48" s="56" cm="1">
        <f t="array" ref="U48">IF(AND(OR(J48="call",J48="put"),T48&lt;&gt;0),1,IF(T48=0,"-",IF(L48&lt;0, _xlfn.LET(_xlpm.v_cant, ABS(L48), _xlpm.v_fecha, I48, _xlpm.v_ticker, B48, _xlpm.rango_f, I49:I$1000, _xlpm.rango_t, L49:L$1000, _xlpm.filtro, B49:B$1000=_xlpm.v_ticker, _xlpm.c_fechas, _xlfn._xlws.FILTER(_xlpm.rango_f, _xlpm.filtro*(_xlpm.rango_t&gt;0), _xlpm.v_fecha), _xlpm.c_cants, _xlfn._xlws.FILTER(_xlpm.rango_t, _xlpm.filtro*(_xlpm.rango_t&gt;0), 0), _xlpm.v_acums_pasadas, ABS(SUMIFS(L49:L$1000, B49:B$1000, _xlpm.v_ticker, L49:L$1000,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48" s="11"/>
    </row>
    <row r="49" spans="1:22" x14ac:dyDescent="0.45">
      <c r="A49" s="3" t="s">
        <v>224</v>
      </c>
      <c r="B49" s="3" t="s">
        <v>335</v>
      </c>
      <c r="H49" s="3">
        <v>9.9600000000000009</v>
      </c>
      <c r="I49" s="14">
        <f>IFERROR(DATE(MID(G49, FIND(",", G49)+2, 4), MATCH(LEFT(G49, 3), {"Jan","Feb","Mar","Apr","May","Jun","Jul","Aug","Sep","Oct","Nov","Dec"}, 0), MID(G49, 5, FIND(",", G49)-5)) + VALUE(MID(G49, FIND(":", G49)-2, 8)),I50)</f>
        <v>45912.464432870373</v>
      </c>
      <c r="J49" s="60" t="str" cm="1">
        <f t="array" ref="J49">IF(OR(ISNUMBER(SEARCH("C",B49)),ISNUMBER(SEARCH("P",B49))),IF(ISNUMBER(SEARCH("C",B49)),"Call","Put"),IF(AND(E49&lt;&gt;0,OR(C49="option exercised",C49="option assigned"),A49="buy"),_xlfn._xlws.FILTER(B$2:B$100,(LEFT(B$2:B$100,LEN(B49))=B49)*(LEN(B$2:B$100)&gt;LEN(B49))*(K$2:K$100=E49)*(I$2:I$100=I49)*(C$2:C$100=C49)*((C49="option assigned")*(ISNUMBER(SEARCH("P",B$2:B$100)))+(C49="option exercised")*(ISNUMBER(SEARCH("C",B$2:B$100)))),""),""))</f>
        <v>Call</v>
      </c>
      <c r="K49" s="9">
        <f t="shared" si="1"/>
        <v>0</v>
      </c>
      <c r="L49" s="5">
        <f t="shared" si="2"/>
        <v>0</v>
      </c>
      <c r="M49" s="5">
        <f>SUMIF(B49:B$88,B49,L49:L$88)</f>
        <v>0</v>
      </c>
      <c r="N49" s="9">
        <v>18.4757</v>
      </c>
      <c r="O49" s="10" cm="1">
        <f t="array" ref="O49">IF(F49=0,_xlfn.XLOOKUP(B49,B50:B$89,O50:O$89,0,0,1),IF(_xlfn.XLOOKUP(B49,B50:B$89,M50:M$89,1,0,1)=0,IF(M49&gt;0,(F49+H49)*N49/M49,(F49-H49)*N49/-M49),IF(M49&gt;0,IF(M49&gt;_xlfn.XLOOKUP(B49,B50:B$89,M50:M$89,0,0,1),(_xlfn.XLOOKUP(B49,B50:B$89,O50:O$89,0,0,1)*_xlfn.XLOOKUP(B49,B50:B$89,M50:M$89,0,0,1)+(F49+H49)*N49+IF(_xlfn.XLOOKUP(J49,B50:B$89,J50:J$89,0,0,1)="put",-_xlfn.XLOOKUP(J49,B50:B$89,O50:O$89,0,0,1)*L49/100,_xlfn.XLOOKUP(J49,B50:B$89,O50:O$89,0,0,1)*L49/100))/M49,_xlfn.XLOOKUP(B49,B50:B$89,O50:O$89,,0,1)),IF(M49&lt;0,IF(M49&lt;_xlfn.XLOOKUP(B49,B50:B$89,M50:M$89,0,0,1),(_xlfn.XLOOKUP(B49,B50:B$89,O50:O$89,0,0,1)*_xlfn.XLOOKUP(B49,B50:B$89,M50:M$89,0,0,1)-(F49-H49)*N49)/M49,_xlfn.XLOOKUP(B49,B50:B$89,O49:O$88,,0,1)),0))))</f>
        <v>0</v>
      </c>
      <c r="P49" s="10" cm="1">
        <f t="array" ref="P49">IF(_xlfn.XLOOKUP(B49,J$2:J49,J$2:J49,0,0,-1)=B49,0,IF(G49="",-H49*N49,IFERROR(IF(_xlfn.XLOOKUP(B49,B50:B$89,M50:M$89,,0,1)&lt;0,IF(M49&gt;_xlfn.XLOOKUP(B49,B50:B$89,M50:M$89,,0,1),L49*_xlfn.XLOOKUP(B49,B50:B$89,O50:O$89,,0,1)+(-F49-H49)*N49,0),IF(_xlfn.XLOOKUP(B49,B50:B$89,M50:M$89,,0,1)&gt;0,IF(M49&lt;_xlfn.XLOOKUP(B49,B50:B$89,M50:M$89,,0,1),(F49-H49)*N49-_xlfn.XLOOKUP(B49,B50:B$89,O50:O$89,,0,1)*-L49,0),0)),0)))</f>
        <v>-184.01797200000001</v>
      </c>
      <c r="Q49" s="56">
        <v>141.197</v>
      </c>
      <c r="R49" s="56">
        <v>140.86699999999999</v>
      </c>
      <c r="S49" s="10" cm="1">
        <f t="array" ref="S49">IF(F49=0,_xlfn.XLOOKUP(B49,B50:B$89,S50:S$89,0,0,1),IF(_xlfn.XLOOKUP(B49,B50:B$89,M50:M$89,1,0,1)=0,IF(M49&gt;0,(F49+H49)*N49/M49,(F49-H49)*N49/-M49),IF(M49&gt;0,IF(M49&gt;_xlfn.XLOOKUP(B49,B50:B$89,M50:M$89,0,0,1),(_xlfn.XLOOKUP(B49,B50:B$89,S50:S$89,0,0,1)*MAX(1,Q49/_xlfn.XLOOKUP(B49,B50:B$89,Q50:Q$89,Q49,0,1))*_xlfn.XLOOKUP(B49,B50:B$89,M50:M$89,0,0,1)+(F49+H49)*N49+IF(_xlfn.XLOOKUP(J49,B50:B$89,J50:J$89,0,0,1)="put",-_xlfn.XLOOKUP(J49,B50:B$89,S50:S$89,0,0,1)*L49/100,_xlfn.XLOOKUP(J49,B50:B$89,S50:S$89,0,0,1)*L49/100))/M49,_xlfn.XLOOKUP(B49,B50:B$89,S50:S$89,,0,1)*MAX(1,Q49/_xlfn.XLOOKUP(B49,B50:B$89,Q50:Q$89,Q49,0,1))),IF(M49&lt;0,IF(M49&lt;_xlfn.XLOOKUP(B49,B50:B$89,M50:M$89,0,0,1),(_xlfn.XLOOKUP(B49,B50:B$89,S50:S$89,0,0,1)*_xlfn.XLOOKUP(B49,B50:B$89,M50:M$89,0,0,1)-(F49-H49)*N49)/M49,_xlfn.XLOOKUP(B49,B50:B$89,S50:S$89,,0,1)),0))))</f>
        <v>0</v>
      </c>
      <c r="T49" s="59" cm="1">
        <f t="array" ref="T49">IF(_xlfn.XLOOKUP(B49,J$2:J49,J$2:J49,0,0,-1)=B49,0,IF(G49="",-H49*N49,IFERROR(IF(_xlfn.XLOOKUP(B49,B50:B$89,M50:M$89,,0,1)&lt;0,IF(M49&gt;_xlfn.XLOOKUP(B49,B50:B$89,M50:M$89,,0,1),L49*_xlfn.XLOOKUP(B49,B50:B$89,S50:S$89,,0,1)+(-F49-H49)*N49,0),IF(_xlfn.XLOOKUP(B49,B50:B$89,M50:M$89,,0,1)&gt;0,IF(M49&lt;_xlfn.XLOOKUP(B49,B50:B$89,M50:M$89,,0,1),(F49-H49)*N49-_xlfn.XLOOKUP(B49,B50:B$89,S50:S$89,,0,1)*-L49*MAX(1,R49/_xlfn.XLOOKUP(B49,B50:B$89,Q50:Q$89,R49,0,1)),0),0)),0)))</f>
        <v>-184.01797200000001</v>
      </c>
      <c r="U49" s="56" cm="1">
        <f t="array" ref="U49">IF(AND(OR(J49="call",J49="put"),T49&lt;&gt;0),1,IF(T49=0,"-",IF(L49&lt;0, _xlfn.LET(_xlpm.v_cant, ABS(L49), _xlpm.v_fecha, I49, _xlpm.v_ticker, B49, _xlpm.rango_f, I50:I$1000, _xlpm.rango_t, L50:L$1000, _xlpm.filtro, B50:B$1000=_xlpm.v_ticker, _xlpm.c_fechas, _xlfn._xlws.FILTER(_xlpm.rango_f, _xlpm.filtro*(_xlpm.rango_t&gt;0), _xlpm.v_fecha), _xlpm.c_cants, _xlfn._xlws.FILTER(_xlpm.rango_t, _xlpm.filtro*(_xlpm.rango_t&gt;0), 0), _xlpm.v_acums_pasadas, ABS(SUMIFS(L50:L$1000, B50:B$1000, _xlpm.v_ticker, L50:L$1000,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49" s="11"/>
    </row>
    <row r="50" spans="1:22" x14ac:dyDescent="0.45">
      <c r="A50" s="3" t="s">
        <v>224</v>
      </c>
      <c r="B50" s="3" t="s">
        <v>336</v>
      </c>
      <c r="D50" s="3">
        <v>1</v>
      </c>
      <c r="E50" s="3">
        <v>0.7</v>
      </c>
      <c r="F50" s="3">
        <v>70</v>
      </c>
      <c r="G50" s="3" t="s">
        <v>337</v>
      </c>
      <c r="I50" s="14">
        <f>IFERROR(DATE(MID(G50, FIND(",", G50)+2, 4), MATCH(LEFT(G50, 3), {"Jan","Feb","Mar","Apr","May","Jun","Jul","Aug","Sep","Oct","Nov","Dec"}, 0), MID(G50, 5, FIND(",", G50)-5)) + VALUE(MID(G50, FIND(":", G50)-2, 8)),I51)</f>
        <v>45912.464432870373</v>
      </c>
      <c r="J50" s="60" t="str" cm="1">
        <f t="array" ref="J50">IF(OR(ISNUMBER(SEARCH("C",B50)),ISNUMBER(SEARCH("P",B50))),IF(ISNUMBER(SEARCH("C",B50)),"Call","Put"),IF(AND(E50&lt;&gt;0,OR(C50="option exercised",C50="option assigned"),A50="buy"),_xlfn._xlws.FILTER(B$2:B$100,(LEFT(B$2:B$100,LEN(B50))=B50)*(LEN(B$2:B$100)&gt;LEN(B50))*(K$2:K$100=E50)*(I$2:I$100=I50)*(C$2:C$100=C50)*((C50="option assigned")*(ISNUMBER(SEARCH("P",B$2:B$100)))+(C50="option exercised")*(ISNUMBER(SEARCH("C",B$2:B$100)))),""),""))</f>
        <v>Call</v>
      </c>
      <c r="K50" s="9">
        <f t="shared" si="1"/>
        <v>0</v>
      </c>
      <c r="L50" s="5">
        <f t="shared" si="2"/>
        <v>1</v>
      </c>
      <c r="M50" s="5">
        <f>SUMIF(B50:B$88,B50,L50:L$88)</f>
        <v>0</v>
      </c>
      <c r="N50" s="9">
        <v>18.4757</v>
      </c>
      <c r="O50" s="10" cm="1">
        <f t="array" ref="O50">IF(F50=0,_xlfn.XLOOKUP(B50,B51:B$89,O51:O$89,0,0,1),IF(_xlfn.XLOOKUP(B50,B51:B$89,M51:M$89,1,0,1)=0,IF(M50&gt;0,(F50+H50)*N50/M50,(F50-H50)*N50/-M50),IF(M50&gt;0,IF(M50&gt;_xlfn.XLOOKUP(B50,B51:B$89,M51:M$89,0,0,1),(_xlfn.XLOOKUP(B50,B51:B$89,O51:O$89,0,0,1)*_xlfn.XLOOKUP(B50,B51:B$89,M51:M$89,0,0,1)+(F50+H50)*N50+IF(_xlfn.XLOOKUP(J50,B51:B$89,J51:J$89,0,0,1)="put",-_xlfn.XLOOKUP(J50,B51:B$89,O51:O$89,0,0,1)*L50/100,_xlfn.XLOOKUP(J50,B51:B$89,O51:O$89,0,0,1)*L50/100))/M50,_xlfn.XLOOKUP(B50,B51:B$89,O51:O$89,,0,1)),IF(M50&lt;0,IF(M50&lt;_xlfn.XLOOKUP(B50,B51:B$89,M51:M$89,0,0,1),(_xlfn.XLOOKUP(B50,B51:B$89,O51:O$89,0,0,1)*_xlfn.XLOOKUP(B50,B51:B$89,M51:M$89,0,0,1)-(F50-H50)*N50)/M50,_xlfn.XLOOKUP(B50,B51:B$89,O50:O$88,,0,1)),0))))</f>
        <v>0</v>
      </c>
      <c r="P50" s="10" cm="1">
        <f t="array" ref="P50">IF(_xlfn.XLOOKUP(B50,J$2:J50,J$2:J50,0,0,-1)=B50,0,IF(G50="",-H50*N50,IFERROR(IF(_xlfn.XLOOKUP(B50,B51:B$89,M51:M$89,,0,1)&lt;0,IF(M50&gt;_xlfn.XLOOKUP(B50,B51:B$89,M51:M$89,,0,1),L50*_xlfn.XLOOKUP(B50,B51:B$89,O51:O$89,,0,1)+(-F50-H50)*N50,0),IF(_xlfn.XLOOKUP(B50,B51:B$89,M51:M$89,,0,1)&gt;0,IF(M50&lt;_xlfn.XLOOKUP(B50,B51:B$89,M51:M$89,,0,1),(F50-H50)*N50-_xlfn.XLOOKUP(B50,B51:B$89,O51:O$89,,0,1)*-L50,0),0)),0)))</f>
        <v>-619.83979999999997</v>
      </c>
      <c r="Q50" s="56">
        <v>141.197</v>
      </c>
      <c r="R50" s="56">
        <v>140.86699999999999</v>
      </c>
      <c r="S50" s="10" cm="1">
        <f t="array" ref="S50">IF(F50=0,_xlfn.XLOOKUP(B50,B51:B$89,S51:S$89,0,0,1),IF(_xlfn.XLOOKUP(B50,B51:B$89,M51:M$89,1,0,1)=0,IF(M50&gt;0,(F50+H50)*N50/M50,(F50-H50)*N50/-M50),IF(M50&gt;0,IF(M50&gt;_xlfn.XLOOKUP(B50,B51:B$89,M51:M$89,0,0,1),(_xlfn.XLOOKUP(B50,B51:B$89,S51:S$89,0,0,1)*MAX(1,Q50/_xlfn.XLOOKUP(B50,B51:B$89,Q51:Q$89,Q50,0,1))*_xlfn.XLOOKUP(B50,B51:B$89,M51:M$89,0,0,1)+(F50+H50)*N50+IF(_xlfn.XLOOKUP(J50,B51:B$89,J51:J$89,0,0,1)="put",-_xlfn.XLOOKUP(J50,B51:B$89,S51:S$89,0,0,1)*L50/100,_xlfn.XLOOKUP(J50,B51:B$89,S51:S$89,0,0,1)*L50/100))/M50,_xlfn.XLOOKUP(B50,B51:B$89,S51:S$89,,0,1)*MAX(1,Q50/_xlfn.XLOOKUP(B50,B51:B$89,Q51:Q$89,Q50,0,1))),IF(M50&lt;0,IF(M50&lt;_xlfn.XLOOKUP(B50,B51:B$89,M51:M$89,0,0,1),(_xlfn.XLOOKUP(B50,B51:B$89,S51:S$89,0,0,1)*_xlfn.XLOOKUP(B50,B51:B$89,M51:M$89,0,0,1)-(F50-H50)*N50)/M50,_xlfn.XLOOKUP(B50,B51:B$89,S51:S$89,,0,1)),0))))</f>
        <v>0</v>
      </c>
      <c r="T50" s="59" cm="1">
        <f t="array" ref="T50">IF(_xlfn.XLOOKUP(B50,J$2:J50,J$2:J50,0,0,-1)=B50,0,IF(G50="",-H50*N50,IFERROR(IF(_xlfn.XLOOKUP(B50,B51:B$89,M51:M$89,,0,1)&lt;0,IF(M50&gt;_xlfn.XLOOKUP(B50,B51:B$89,M51:M$89,,0,1),L50*_xlfn.XLOOKUP(B50,B51:B$89,S51:S$89,,0,1)+(-F50-H50)*N50,0),IF(_xlfn.XLOOKUP(B50,B51:B$89,M51:M$89,,0,1)&gt;0,IF(M50&lt;_xlfn.XLOOKUP(B50,B51:B$89,M51:M$89,,0,1),(F50-H50)*N50-_xlfn.XLOOKUP(B50,B51:B$89,S51:S$89,,0,1)*-L50*MAX(1,R50/_xlfn.XLOOKUP(B50,B51:B$89,Q51:Q$89,R50,0,1)),0),0)),0)))</f>
        <v>-619.83979999999997</v>
      </c>
      <c r="U50" s="56" cm="1">
        <f t="array" ref="U50">IF(AND(OR(J50="call",J50="put"),T50&lt;&gt;0),1,IF(T50=0,"-",IF(L50&lt;0, _xlfn.LET(_xlpm.v_cant, ABS(L50), _xlpm.v_fecha, I50, _xlpm.v_ticker, B50, _xlpm.rango_f, I51:I$1000, _xlpm.rango_t, L51:L$1000, _xlpm.filtro, B51:B$1000=_xlpm.v_ticker, _xlpm.c_fechas, _xlfn._xlws.FILTER(_xlpm.rango_f, _xlpm.filtro*(_xlpm.rango_t&gt;0), _xlpm.v_fecha), _xlpm.c_cants, _xlfn._xlws.FILTER(_xlpm.rango_t, _xlpm.filtro*(_xlpm.rango_t&gt;0), 0), _xlpm.v_acums_pasadas, ABS(SUMIFS(L51:L$1000, B51:B$1000, _xlpm.v_ticker, L51:L$1000,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50" s="11"/>
    </row>
    <row r="51" spans="1:22" x14ac:dyDescent="0.45">
      <c r="A51" s="3" t="s">
        <v>222</v>
      </c>
      <c r="B51" s="3" t="s">
        <v>338</v>
      </c>
      <c r="D51" s="3">
        <v>2</v>
      </c>
      <c r="E51" s="3">
        <v>0.25</v>
      </c>
      <c r="F51" s="3">
        <v>50</v>
      </c>
      <c r="G51" s="3" t="s">
        <v>337</v>
      </c>
      <c r="I51" s="14">
        <f>IFERROR(DATE(MID(G51, FIND(",", G51)+2, 4), MATCH(LEFT(G51, 3), {"Jan","Feb","Mar","Apr","May","Jun","Jul","Aug","Sep","Oct","Nov","Dec"}, 0), MID(G51, 5, FIND(",", G51)-5)) + VALUE(MID(G51, FIND(":", G51)-2, 8)),I52)</f>
        <v>45912.464432870373</v>
      </c>
      <c r="J51" s="60" t="str" cm="1">
        <f t="array" ref="J51">IF(OR(ISNUMBER(SEARCH("C",B51)),ISNUMBER(SEARCH("P",B51))),IF(ISNUMBER(SEARCH("C",B51)),"Call","Put"),IF(AND(E51&lt;&gt;0,OR(C51="option exercised",C51="option assigned"),A51="buy"),_xlfn._xlws.FILTER(B$2:B$100,(LEFT(B$2:B$100,LEN(B51))=B51)*(LEN(B$2:B$100)&gt;LEN(B51))*(K$2:K$100=E51)*(I$2:I$100=I51)*(C$2:C$100=C51)*((C51="option assigned")*(ISNUMBER(SEARCH("P",B$2:B$100)))+(C51="option exercised")*(ISNUMBER(SEARCH("C",B$2:B$100)))),""),""))</f>
        <v>Call</v>
      </c>
      <c r="K51" s="9">
        <f t="shared" si="1"/>
        <v>0</v>
      </c>
      <c r="L51" s="5">
        <f t="shared" si="2"/>
        <v>-2</v>
      </c>
      <c r="M51" s="5">
        <f>SUMIF(B51:B$88,B51,L51:L$88)</f>
        <v>0</v>
      </c>
      <c r="N51" s="9">
        <v>18.4757</v>
      </c>
      <c r="O51" s="10" cm="1">
        <f t="array" ref="O51">IF(F51=0,_xlfn.XLOOKUP(B51,B52:B$89,O52:O$89,0,0,1),IF(_xlfn.XLOOKUP(B51,B52:B$89,M52:M$89,1,0,1)=0,IF(M51&gt;0,(F51+H51)*N51/M51,(F51-H51)*N51/-M51),IF(M51&gt;0,IF(M51&gt;_xlfn.XLOOKUP(B51,B52:B$89,M52:M$89,0,0,1),(_xlfn.XLOOKUP(B51,B52:B$89,O52:O$89,0,0,1)*_xlfn.XLOOKUP(B51,B52:B$89,M52:M$89,0,0,1)+(F51+H51)*N51+IF(_xlfn.XLOOKUP(J51,B52:B$89,J52:J$89,0,0,1)="put",-_xlfn.XLOOKUP(J51,B52:B$89,O52:O$89,0,0,1)*L51/100,_xlfn.XLOOKUP(J51,B52:B$89,O52:O$89,0,0,1)*L51/100))/M51,_xlfn.XLOOKUP(B51,B52:B$89,O52:O$89,,0,1)),IF(M51&lt;0,IF(M51&lt;_xlfn.XLOOKUP(B51,B52:B$89,M52:M$89,0,0,1),(_xlfn.XLOOKUP(B51,B52:B$89,O52:O$89,0,0,1)*_xlfn.XLOOKUP(B51,B52:B$89,M52:M$89,0,0,1)-(F51-H51)*N51)/M51,_xlfn.XLOOKUP(B51,B52:B$89,O51:O$88,,0,1)),0))))</f>
        <v>0</v>
      </c>
      <c r="P51" s="10" cm="1">
        <f t="array" ref="P51">IF(_xlfn.XLOOKUP(B51,J$2:J51,J$2:J51,0,0,-1)=B51,0,IF(G51="",-H51*N51,IFERROR(IF(_xlfn.XLOOKUP(B51,B52:B$89,M52:M$89,,0,1)&lt;0,IF(M51&gt;_xlfn.XLOOKUP(B51,B52:B$89,M52:M$89,,0,1),L51*_xlfn.XLOOKUP(B51,B52:B$89,O52:O$89,,0,1)+(-F51-H51)*N51,0),IF(_xlfn.XLOOKUP(B51,B52:B$89,M52:M$89,,0,1)&gt;0,IF(M51&lt;_xlfn.XLOOKUP(B51,B52:B$89,M52:M$89,,0,1),(F51-H51)*N51-_xlfn.XLOOKUP(B51,B52:B$89,O52:O$89,,0,1)*-L51,0),0)),0)))</f>
        <v>175.49699999999996</v>
      </c>
      <c r="Q51" s="56">
        <v>141.197</v>
      </c>
      <c r="R51" s="56">
        <v>140.86699999999999</v>
      </c>
      <c r="S51" s="10" cm="1">
        <f t="array" ref="S51">IF(F51=0,_xlfn.XLOOKUP(B51,B52:B$89,S52:S$89,0,0,1),IF(_xlfn.XLOOKUP(B51,B52:B$89,M52:M$89,1,0,1)=0,IF(M51&gt;0,(F51+H51)*N51/M51,(F51-H51)*N51/-M51),IF(M51&gt;0,IF(M51&gt;_xlfn.XLOOKUP(B51,B52:B$89,M52:M$89,0,0,1),(_xlfn.XLOOKUP(B51,B52:B$89,S52:S$89,0,0,1)*MAX(1,Q51/_xlfn.XLOOKUP(B51,B52:B$89,Q52:Q$89,Q51,0,1))*_xlfn.XLOOKUP(B51,B52:B$89,M52:M$89,0,0,1)+(F51+H51)*N51+IF(_xlfn.XLOOKUP(J51,B52:B$89,J52:J$89,0,0,1)="put",-_xlfn.XLOOKUP(J51,B52:B$89,S52:S$89,0,0,1)*L51/100,_xlfn.XLOOKUP(J51,B52:B$89,S52:S$89,0,0,1)*L51/100))/M51,_xlfn.XLOOKUP(B51,B52:B$89,S52:S$89,,0,1)*MAX(1,Q51/_xlfn.XLOOKUP(B51,B52:B$89,Q52:Q$89,Q51,0,1))),IF(M51&lt;0,IF(M51&lt;_xlfn.XLOOKUP(B51,B52:B$89,M52:M$89,0,0,1),(_xlfn.XLOOKUP(B51,B52:B$89,S52:S$89,0,0,1)*_xlfn.XLOOKUP(B51,B52:B$89,M52:M$89,0,0,1)-(F51-H51)*N51)/M51,_xlfn.XLOOKUP(B51,B52:B$89,S52:S$89,,0,1)),0))))</f>
        <v>0</v>
      </c>
      <c r="T51" s="59" cm="1">
        <f t="array" ref="T51">IF(_xlfn.XLOOKUP(B51,J$2:J51,J$2:J51,0,0,-1)=B51,0,IF(G51="",-H51*N51,IFERROR(IF(_xlfn.XLOOKUP(B51,B52:B$89,M52:M$89,,0,1)&lt;0,IF(M51&gt;_xlfn.XLOOKUP(B51,B52:B$89,M52:M$89,,0,1),L51*_xlfn.XLOOKUP(B51,B52:B$89,S52:S$89,,0,1)+(-F51-H51)*N51,0),IF(_xlfn.XLOOKUP(B51,B52:B$89,M52:M$89,,0,1)&gt;0,IF(M51&lt;_xlfn.XLOOKUP(B51,B52:B$89,M52:M$89,,0,1),(F51-H51)*N51-_xlfn.XLOOKUP(B51,B52:B$89,S52:S$89,,0,1)*-L51*MAX(1,R51/_xlfn.XLOOKUP(B51,B52:B$89,Q52:Q$89,R51,0,1)),0),0)),0)))</f>
        <v>175.49699999999996</v>
      </c>
      <c r="U51" s="56" cm="1">
        <f t="array" ref="U51">IF(AND(OR(J51="call",J51="put"),T51&lt;&gt;0),1,IF(T51=0,"-",IF(L51&lt;0, _xlfn.LET(_xlpm.v_cant, ABS(L51), _xlpm.v_fecha, I51, _xlpm.v_ticker, B51, _xlpm.rango_f, I52:I$1000, _xlpm.rango_t, L52:L$1000, _xlpm.filtro, B52:B$1000=_xlpm.v_ticker, _xlpm.c_fechas, _xlfn._xlws.FILTER(_xlpm.rango_f, _xlpm.filtro*(_xlpm.rango_t&gt;0), _xlpm.v_fecha), _xlpm.c_cants, _xlfn._xlws.FILTER(_xlpm.rango_t, _xlpm.filtro*(_xlpm.rango_t&gt;0), 0), _xlpm.v_acums_pasadas, ABS(SUMIFS(L52:L$1000, B52:B$1000, _xlpm.v_ticker, L52:L$1000,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51" s="11"/>
    </row>
    <row r="52" spans="1:22" x14ac:dyDescent="0.45">
      <c r="A52" s="3" t="s">
        <v>224</v>
      </c>
      <c r="B52" s="3" t="s">
        <v>339</v>
      </c>
      <c r="D52" s="3">
        <v>1</v>
      </c>
      <c r="E52" s="3">
        <v>0.19</v>
      </c>
      <c r="F52" s="3">
        <v>19</v>
      </c>
      <c r="G52" s="3" t="s">
        <v>337</v>
      </c>
      <c r="I52" s="14">
        <f>IFERROR(DATE(MID(G52, FIND(",", G52)+2, 4), MATCH(LEFT(G52, 3), {"Jan","Feb","Mar","Apr","May","Jun","Jul","Aug","Sep","Oct","Nov","Dec"}, 0), MID(G52, 5, FIND(",", G52)-5)) + VALUE(MID(G52, FIND(":", G52)-2, 8)),I53)</f>
        <v>45912.464432870373</v>
      </c>
      <c r="J52" s="60" t="str" cm="1">
        <f t="array" ref="J52">IF(OR(ISNUMBER(SEARCH("C",B52)),ISNUMBER(SEARCH("P",B52))),IF(ISNUMBER(SEARCH("C",B52)),"Call","Put"),IF(AND(E52&lt;&gt;0,OR(C52="option exercised",C52="option assigned"),A52="buy"),_xlfn._xlws.FILTER(B$2:B$100,(LEFT(B$2:B$100,LEN(B52))=B52)*(LEN(B$2:B$100)&gt;LEN(B52))*(K$2:K$100=E52)*(I$2:I$100=I52)*(C$2:C$100=C52)*((C52="option assigned")*(ISNUMBER(SEARCH("P",B$2:B$100)))+(C52="option exercised")*(ISNUMBER(SEARCH("C",B$2:B$100)))),""),""))</f>
        <v>Call</v>
      </c>
      <c r="K52" s="9">
        <f t="shared" si="1"/>
        <v>0</v>
      </c>
      <c r="L52" s="5">
        <f t="shared" si="2"/>
        <v>1</v>
      </c>
      <c r="M52" s="5">
        <f>SUMIF(B52:B$88,B52,L52:L$88)</f>
        <v>0</v>
      </c>
      <c r="N52" s="9">
        <v>18.4757</v>
      </c>
      <c r="O52" s="10" cm="1">
        <f t="array" ref="O52">IF(F52=0,_xlfn.XLOOKUP(B52,B53:B$89,O53:O$89,0,0,1),IF(_xlfn.XLOOKUP(B52,B53:B$89,M53:M$89,1,0,1)=0,IF(M52&gt;0,(F52+H52)*N52/M52,(F52-H52)*N52/-M52),IF(M52&gt;0,IF(M52&gt;_xlfn.XLOOKUP(B52,B53:B$89,M53:M$89,0,0,1),(_xlfn.XLOOKUP(B52,B53:B$89,O53:O$89,0,0,1)*_xlfn.XLOOKUP(B52,B53:B$89,M53:M$89,0,0,1)+(F52+H52)*N52+IF(_xlfn.XLOOKUP(J52,B53:B$89,J53:J$89,0,0,1)="put",-_xlfn.XLOOKUP(J52,B53:B$89,O53:O$89,0,0,1)*L52/100,_xlfn.XLOOKUP(J52,B53:B$89,O53:O$89,0,0,1)*L52/100))/M52,_xlfn.XLOOKUP(B52,B53:B$89,O53:O$89,,0,1)),IF(M52&lt;0,IF(M52&lt;_xlfn.XLOOKUP(B52,B53:B$89,M53:M$89,0,0,1),(_xlfn.XLOOKUP(B52,B53:B$89,O53:O$89,0,0,1)*_xlfn.XLOOKUP(B52,B53:B$89,M53:M$89,0,0,1)-(F52-H52)*N52)/M52,_xlfn.XLOOKUP(B52,B53:B$89,O52:O$88,,0,1)),0))))</f>
        <v>0</v>
      </c>
      <c r="P52" s="10" cm="1">
        <f t="array" ref="P52">IF(_xlfn.XLOOKUP(B52,J$2:J52,J$2:J52,0,0,-1)=B52,0,IF(G52="",-H52*N52,IFERROR(IF(_xlfn.XLOOKUP(B52,B53:B$89,M53:M$89,,0,1)&lt;0,IF(M52&gt;_xlfn.XLOOKUP(B52,B53:B$89,M53:M$89,,0,1),L52*_xlfn.XLOOKUP(B52,B53:B$89,O53:O$89,,0,1)+(-F52-H52)*N52,0),IF(_xlfn.XLOOKUP(B52,B53:B$89,M53:M$89,,0,1)&gt;0,IF(M52&lt;_xlfn.XLOOKUP(B52,B53:B$89,M53:M$89,,0,1),(F52-H52)*N52-_xlfn.XLOOKUP(B52,B53:B$89,O53:O$89,,0,1)*-L52,0),0)),0)))</f>
        <v>-182.67349999999999</v>
      </c>
      <c r="Q52" s="56">
        <v>141.197</v>
      </c>
      <c r="R52" s="56">
        <v>140.86699999999999</v>
      </c>
      <c r="S52" s="10" cm="1">
        <f t="array" ref="S52">IF(F52=0,_xlfn.XLOOKUP(B52,B53:B$89,S53:S$89,0,0,1),IF(_xlfn.XLOOKUP(B52,B53:B$89,M53:M$89,1,0,1)=0,IF(M52&gt;0,(F52+H52)*N52/M52,(F52-H52)*N52/-M52),IF(M52&gt;0,IF(M52&gt;_xlfn.XLOOKUP(B52,B53:B$89,M53:M$89,0,0,1),(_xlfn.XLOOKUP(B52,B53:B$89,S53:S$89,0,0,1)*MAX(1,Q52/_xlfn.XLOOKUP(B52,B53:B$89,Q53:Q$89,Q52,0,1))*_xlfn.XLOOKUP(B52,B53:B$89,M53:M$89,0,0,1)+(F52+H52)*N52+IF(_xlfn.XLOOKUP(J52,B53:B$89,J53:J$89,0,0,1)="put",-_xlfn.XLOOKUP(J52,B53:B$89,S53:S$89,0,0,1)*L52/100,_xlfn.XLOOKUP(J52,B53:B$89,S53:S$89,0,0,1)*L52/100))/M52,_xlfn.XLOOKUP(B52,B53:B$89,S53:S$89,,0,1)*MAX(1,Q52/_xlfn.XLOOKUP(B52,B53:B$89,Q53:Q$89,Q52,0,1))),IF(M52&lt;0,IF(M52&lt;_xlfn.XLOOKUP(B52,B53:B$89,M53:M$89,0,0,1),(_xlfn.XLOOKUP(B52,B53:B$89,S53:S$89,0,0,1)*_xlfn.XLOOKUP(B52,B53:B$89,M53:M$89,0,0,1)-(F52-H52)*N52)/M52,_xlfn.XLOOKUP(B52,B53:B$89,S53:S$89,,0,1)),0))))</f>
        <v>0</v>
      </c>
      <c r="T52" s="59" cm="1">
        <f t="array" ref="T52">IF(_xlfn.XLOOKUP(B52,J$2:J52,J$2:J52,0,0,-1)=B52,0,IF(G52="",-H52*N52,IFERROR(IF(_xlfn.XLOOKUP(B52,B53:B$89,M53:M$89,,0,1)&lt;0,IF(M52&gt;_xlfn.XLOOKUP(B52,B53:B$89,M53:M$89,,0,1),L52*_xlfn.XLOOKUP(B52,B53:B$89,S53:S$89,,0,1)+(-F52-H52)*N52,0),IF(_xlfn.XLOOKUP(B52,B53:B$89,M53:M$89,,0,1)&gt;0,IF(M52&lt;_xlfn.XLOOKUP(B52,B53:B$89,M53:M$89,,0,1),(F52-H52)*N52-_xlfn.XLOOKUP(B52,B53:B$89,S53:S$89,,0,1)*-L52*MAX(1,R52/_xlfn.XLOOKUP(B52,B53:B$89,Q53:Q$89,R52,0,1)),0),0)),0)))</f>
        <v>-182.67349999999999</v>
      </c>
      <c r="U52" s="56" cm="1">
        <f t="array" ref="U52">IF(AND(OR(J52="call",J52="put"),T52&lt;&gt;0),1,IF(T52=0,"-",IF(L52&lt;0, _xlfn.LET(_xlpm.v_cant, ABS(L52), _xlpm.v_fecha, I52, _xlpm.v_ticker, B52, _xlpm.rango_f, I53:I$1000, _xlpm.rango_t, L53:L$1000, _xlpm.filtro, B53:B$1000=_xlpm.v_ticker, _xlpm.c_fechas, _xlfn._xlws.FILTER(_xlpm.rango_f, _xlpm.filtro*(_xlpm.rango_t&gt;0), _xlpm.v_fecha), _xlpm.c_cants, _xlfn._xlws.FILTER(_xlpm.rango_t, _xlpm.filtro*(_xlpm.rango_t&gt;0), 0), _xlpm.v_acums_pasadas, ABS(SUMIFS(L53:L$1000, B53:B$1000, _xlpm.v_ticker, L53:L$1000,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52" s="11"/>
    </row>
    <row r="53" spans="1:22" x14ac:dyDescent="0.45">
      <c r="A53" s="3" t="s">
        <v>224</v>
      </c>
      <c r="B53" s="3" t="s">
        <v>340</v>
      </c>
      <c r="H53" s="3">
        <v>11.98</v>
      </c>
      <c r="I53" s="14">
        <f>IFERROR(DATE(MID(G53, FIND(",", G53)+2, 4), MATCH(LEFT(G53, 3), {"Jan","Feb","Mar","Apr","May","Jun","Jul","Aug","Sep","Oct","Nov","Dec"}, 0), MID(G53, 5, FIND(",", G53)-5)) + VALUE(MID(G53, FIND(":", G53)-2, 8)),I54)</f>
        <v>45908.658136574071</v>
      </c>
      <c r="J53" s="60" t="str" cm="1">
        <f t="array" ref="J53">IF(OR(ISNUMBER(SEARCH("C",B53)),ISNUMBER(SEARCH("P",B53))),IF(ISNUMBER(SEARCH("C",B53)),"Call","Put"),IF(AND(E53&lt;&gt;0,OR(C53="option exercised",C53="option assigned"),A53="buy"),_xlfn._xlws.FILTER(B$2:B$100,(LEFT(B$2:B$100,LEN(B53))=B53)*(LEN(B$2:B$100)&gt;LEN(B53))*(K$2:K$100=E53)*(I$2:I$100=I53)*(C$2:C$100=C53)*((C53="option assigned")*(ISNUMBER(SEARCH("P",B$2:B$100)))+(C53="option exercised")*(ISNUMBER(SEARCH("C",B$2:B$100)))),""),""))</f>
        <v>Call</v>
      </c>
      <c r="K53" s="9">
        <f t="shared" si="1"/>
        <v>0</v>
      </c>
      <c r="L53" s="5">
        <f t="shared" si="2"/>
        <v>0</v>
      </c>
      <c r="M53" s="5">
        <f>SUMIF(B53:B$88,B53,L53:L$88)</f>
        <v>0</v>
      </c>
      <c r="N53" s="9">
        <v>18.655000000000001</v>
      </c>
      <c r="O53" s="10" cm="1">
        <f t="array" ref="O53">IF(F53=0,_xlfn.XLOOKUP(B53,B54:B$89,O54:O$89,0,0,1),IF(_xlfn.XLOOKUP(B53,B54:B$89,M54:M$89,1,0,1)=0,IF(M53&gt;0,(F53+H53)*N53/M53,(F53-H53)*N53/-M53),IF(M53&gt;0,IF(M53&gt;_xlfn.XLOOKUP(B53,B54:B$89,M54:M$89,0,0,1),(_xlfn.XLOOKUP(B53,B54:B$89,O54:O$89,0,0,1)*_xlfn.XLOOKUP(B53,B54:B$89,M54:M$89,0,0,1)+(F53+H53)*N53+IF(_xlfn.XLOOKUP(J53,B54:B$89,J54:J$89,0,0,1)="put",-_xlfn.XLOOKUP(J53,B54:B$89,O54:O$89,0,0,1)*L53/100,_xlfn.XLOOKUP(J53,B54:B$89,O54:O$89,0,0,1)*L53/100))/M53,_xlfn.XLOOKUP(B53,B54:B$89,O54:O$89,,0,1)),IF(M53&lt;0,IF(M53&lt;_xlfn.XLOOKUP(B53,B54:B$89,M54:M$89,0,0,1),(_xlfn.XLOOKUP(B53,B54:B$89,O54:O$89,0,0,1)*_xlfn.XLOOKUP(B53,B54:B$89,M54:M$89,0,0,1)-(F53-H53)*N53)/M53,_xlfn.XLOOKUP(B53,B54:B$89,O53:O$88,,0,1)),0))))</f>
        <v>0</v>
      </c>
      <c r="P53" s="10" cm="1">
        <f t="array" ref="P53">IF(_xlfn.XLOOKUP(B53,J$2:J53,J$2:J53,0,0,-1)=B53,0,IF(G53="",-H53*N53,IFERROR(IF(_xlfn.XLOOKUP(B53,B54:B$89,M54:M$89,,0,1)&lt;0,IF(M53&gt;_xlfn.XLOOKUP(B53,B54:B$89,M54:M$89,,0,1),L53*_xlfn.XLOOKUP(B53,B54:B$89,O54:O$89,,0,1)+(-F53-H53)*N53,0),IF(_xlfn.XLOOKUP(B53,B54:B$89,M54:M$89,,0,1)&gt;0,IF(M53&lt;_xlfn.XLOOKUP(B53,B54:B$89,M54:M$89,,0,1),(F53-H53)*N53-_xlfn.XLOOKUP(B53,B54:B$89,O54:O$89,,0,1)*-L53,0),0)),0)))</f>
        <v>-223.48690000000002</v>
      </c>
      <c r="Q53" s="56">
        <v>141.197</v>
      </c>
      <c r="R53" s="56">
        <v>140.86699999999999</v>
      </c>
      <c r="S53" s="10" cm="1">
        <f t="array" ref="S53">IF(F53=0,_xlfn.XLOOKUP(B53,B54:B$89,S54:S$89,0,0,1),IF(_xlfn.XLOOKUP(B53,B54:B$89,M54:M$89,1,0,1)=0,IF(M53&gt;0,(F53+H53)*N53/M53,(F53-H53)*N53/-M53),IF(M53&gt;0,IF(M53&gt;_xlfn.XLOOKUP(B53,B54:B$89,M54:M$89,0,0,1),(_xlfn.XLOOKUP(B53,B54:B$89,S54:S$89,0,0,1)*MAX(1,Q53/_xlfn.XLOOKUP(B53,B54:B$89,Q54:Q$89,Q53,0,1))*_xlfn.XLOOKUP(B53,B54:B$89,M54:M$89,0,0,1)+(F53+H53)*N53+IF(_xlfn.XLOOKUP(J53,B54:B$89,J54:J$89,0,0,1)="put",-_xlfn.XLOOKUP(J53,B54:B$89,S54:S$89,0,0,1)*L53/100,_xlfn.XLOOKUP(J53,B54:B$89,S54:S$89,0,0,1)*L53/100))/M53,_xlfn.XLOOKUP(B53,B54:B$89,S54:S$89,,0,1)*MAX(1,Q53/_xlfn.XLOOKUP(B53,B54:B$89,Q54:Q$89,Q53,0,1))),IF(M53&lt;0,IF(M53&lt;_xlfn.XLOOKUP(B53,B54:B$89,M54:M$89,0,0,1),(_xlfn.XLOOKUP(B53,B54:B$89,S54:S$89,0,0,1)*_xlfn.XLOOKUP(B53,B54:B$89,M54:M$89,0,0,1)-(F53-H53)*N53)/M53,_xlfn.XLOOKUP(B53,B54:B$89,S54:S$89,,0,1)),0))))</f>
        <v>0</v>
      </c>
      <c r="T53" s="59" cm="1">
        <f t="array" ref="T53">IF(_xlfn.XLOOKUP(B53,J$2:J53,J$2:J53,0,0,-1)=B53,0,IF(G53="",-H53*N53,IFERROR(IF(_xlfn.XLOOKUP(B53,B54:B$89,M54:M$89,,0,1)&lt;0,IF(M53&gt;_xlfn.XLOOKUP(B53,B54:B$89,M54:M$89,,0,1),L53*_xlfn.XLOOKUP(B53,B54:B$89,S54:S$89,,0,1)+(-F53-H53)*N53,0),IF(_xlfn.XLOOKUP(B53,B54:B$89,M54:M$89,,0,1)&gt;0,IF(M53&lt;_xlfn.XLOOKUP(B53,B54:B$89,M54:M$89,,0,1),(F53-H53)*N53-_xlfn.XLOOKUP(B53,B54:B$89,S54:S$89,,0,1)*-L53*MAX(1,R53/_xlfn.XLOOKUP(B53,B54:B$89,Q54:Q$89,R53,0,1)),0),0)),0)))</f>
        <v>-223.48690000000002</v>
      </c>
      <c r="U53" s="56" cm="1">
        <f t="array" ref="U53">IF(AND(OR(J53="call",J53="put"),T53&lt;&gt;0),1,IF(T53=0,"-",IF(L53&lt;0, _xlfn.LET(_xlpm.v_cant, ABS(L53), _xlpm.v_fecha, I53, _xlpm.v_ticker, B53, _xlpm.rango_f, I54:I$1000, _xlpm.rango_t, L54:L$1000, _xlpm.filtro, B54:B$1000=_xlpm.v_ticker, _xlpm.c_fechas, _xlfn._xlws.FILTER(_xlpm.rango_f, _xlpm.filtro*(_xlpm.rango_t&gt;0), _xlpm.v_fecha), _xlpm.c_cants, _xlfn._xlws.FILTER(_xlpm.rango_t, _xlpm.filtro*(_xlpm.rango_t&gt;0), 0), _xlpm.v_acums_pasadas, ABS(SUMIFS(L54:L$1000, B54:B$1000, _xlpm.v_ticker, L54:L$1000,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53" s="11"/>
    </row>
    <row r="54" spans="1:22" x14ac:dyDescent="0.45">
      <c r="A54" s="3" t="s">
        <v>222</v>
      </c>
      <c r="B54" s="3" t="s">
        <v>314</v>
      </c>
      <c r="D54" s="3">
        <v>1</v>
      </c>
      <c r="E54" s="3">
        <v>0.26</v>
      </c>
      <c r="F54" s="3">
        <v>26</v>
      </c>
      <c r="G54" s="3" t="s">
        <v>341</v>
      </c>
      <c r="I54" s="14">
        <f>IFERROR(DATE(MID(G54, FIND(",", G54)+2, 4), MATCH(LEFT(G54, 3), {"Jan","Feb","Mar","Apr","May","Jun","Jul","Aug","Sep","Oct","Nov","Dec"}, 0), MID(G54, 5, FIND(",", G54)-5)) + VALUE(MID(G54, FIND(":", G54)-2, 8)),I55)</f>
        <v>45908.658136574071</v>
      </c>
      <c r="J54" s="60" t="str" cm="1">
        <f t="array" ref="J54">IF(OR(ISNUMBER(SEARCH("C",B54)),ISNUMBER(SEARCH("P",B54))),IF(ISNUMBER(SEARCH("C",B54)),"Call","Put"),IF(AND(E54&lt;&gt;0,OR(C54="option exercised",C54="option assigned"),A54="buy"),_xlfn._xlws.FILTER(B$2:B$100,(LEFT(B$2:B$100,LEN(B54))=B54)*(LEN(B$2:B$100)&gt;LEN(B54))*(K$2:K$100=E54)*(I$2:I$100=I54)*(C$2:C$100=C54)*((C54="option assigned")*(ISNUMBER(SEARCH("P",B$2:B$100)))+(C54="option exercised")*(ISNUMBER(SEARCH("C",B$2:B$100)))),""),""))</f>
        <v>Put</v>
      </c>
      <c r="K54" s="9">
        <f t="shared" si="1"/>
        <v>14.5</v>
      </c>
      <c r="L54" s="5">
        <f t="shared" si="2"/>
        <v>-1</v>
      </c>
      <c r="M54" s="5">
        <f>SUMIF(B54:B$88,B54,L54:L$88)</f>
        <v>-1</v>
      </c>
      <c r="N54" s="9">
        <v>18.655000000000001</v>
      </c>
      <c r="O54" s="10" cm="1">
        <f t="array" ref="O54">IF(F54=0,_xlfn.XLOOKUP(B54,B55:B$89,O55:O$89,0,0,1),IF(_xlfn.XLOOKUP(B54,B55:B$89,M55:M$89,1,0,1)=0,IF(M54&gt;0,(F54+H54)*N54/M54,(F54-H54)*N54/-M54),IF(M54&gt;0,IF(M54&gt;_xlfn.XLOOKUP(B54,B55:B$89,M55:M$89,0,0,1),(_xlfn.XLOOKUP(B54,B55:B$89,O55:O$89,0,0,1)*_xlfn.XLOOKUP(B54,B55:B$89,M55:M$89,0,0,1)+(F54+H54)*N54+IF(_xlfn.XLOOKUP(J54,B55:B$89,J55:J$89,0,0,1)="put",-_xlfn.XLOOKUP(J54,B55:B$89,O55:O$89,0,0,1)*L54/100,_xlfn.XLOOKUP(J54,B55:B$89,O55:O$89,0,0,1)*L54/100))/M54,_xlfn.XLOOKUP(B54,B55:B$89,O55:O$89,,0,1)),IF(M54&lt;0,IF(M54&lt;_xlfn.XLOOKUP(B54,B55:B$89,M55:M$89,0,0,1),(_xlfn.XLOOKUP(B54,B55:B$89,O55:O$89,0,0,1)*_xlfn.XLOOKUP(B54,B55:B$89,M55:M$89,0,0,1)-(F54-H54)*N54)/M54,_xlfn.XLOOKUP(B54,B55:B$89,O54:O$88,,0,1)),0))))</f>
        <v>485.03000000000003</v>
      </c>
      <c r="P54" s="10" cm="1">
        <f t="array" ref="P54">IF(_xlfn.XLOOKUP(B54,J$2:J54,J$2:J54,0,0,-1)=B54,0,IF(G54="",-H54*N54,IFERROR(IF(_xlfn.XLOOKUP(B54,B55:B$89,M55:M$89,,0,1)&lt;0,IF(M54&gt;_xlfn.XLOOKUP(B54,B55:B$89,M55:M$89,,0,1),L54*_xlfn.XLOOKUP(B54,B55:B$89,O55:O$89,,0,1)+(-F54-H54)*N54,0),IF(_xlfn.XLOOKUP(B54,B55:B$89,M55:M$89,,0,1)&gt;0,IF(M54&lt;_xlfn.XLOOKUP(B54,B55:B$89,M55:M$89,,0,1),(F54-H54)*N54-_xlfn.XLOOKUP(B54,B55:B$89,O55:O$89,,0,1)*-L54,0),0)),0)))</f>
        <v>0</v>
      </c>
      <c r="Q54" s="56">
        <v>141.197</v>
      </c>
      <c r="R54" s="56">
        <v>140.86699999999999</v>
      </c>
      <c r="S54" s="10" cm="1">
        <f t="array" ref="S54">IF(F54=0,_xlfn.XLOOKUP(B54,B55:B$89,S55:S$89,0,0,1),IF(_xlfn.XLOOKUP(B54,B55:B$89,M55:M$89,1,0,1)=0,IF(M54&gt;0,(F54+H54)*N54/M54,(F54-H54)*N54/-M54),IF(M54&gt;0,IF(M54&gt;_xlfn.XLOOKUP(B54,B55:B$89,M55:M$89,0,0,1),(_xlfn.XLOOKUP(B54,B55:B$89,S55:S$89,0,0,1)*MAX(1,Q54/_xlfn.XLOOKUP(B54,B55:B$89,Q55:Q$89,Q54,0,1))*_xlfn.XLOOKUP(B54,B55:B$89,M55:M$89,0,0,1)+(F54+H54)*N54+IF(_xlfn.XLOOKUP(J54,B55:B$89,J55:J$89,0,0,1)="put",-_xlfn.XLOOKUP(J54,B55:B$89,S55:S$89,0,0,1)*L54/100,_xlfn.XLOOKUP(J54,B55:B$89,S55:S$89,0,0,1)*L54/100))/M54,_xlfn.XLOOKUP(B54,B55:B$89,S55:S$89,,0,1)*MAX(1,Q54/_xlfn.XLOOKUP(B54,B55:B$89,Q55:Q$89,Q54,0,1))),IF(M54&lt;0,IF(M54&lt;_xlfn.XLOOKUP(B54,B55:B$89,M55:M$89,0,0,1),(_xlfn.XLOOKUP(B54,B55:B$89,S55:S$89,0,0,1)*_xlfn.XLOOKUP(B54,B55:B$89,M55:M$89,0,0,1)-(F54-H54)*N54)/M54,_xlfn.XLOOKUP(B54,B55:B$89,S55:S$89,,0,1)),0))))</f>
        <v>485.03000000000003</v>
      </c>
      <c r="T54" s="59" cm="1">
        <f t="array" ref="T54">IF(_xlfn.XLOOKUP(B54,J$2:J54,J$2:J54,0,0,-1)=B54,0,IF(G54="",-H54*N54,IFERROR(IF(_xlfn.XLOOKUP(B54,B55:B$89,M55:M$89,,0,1)&lt;0,IF(M54&gt;_xlfn.XLOOKUP(B54,B55:B$89,M55:M$89,,0,1),L54*_xlfn.XLOOKUP(B54,B55:B$89,S55:S$89,,0,1)+(-F54-H54)*N54,0),IF(_xlfn.XLOOKUP(B54,B55:B$89,M55:M$89,,0,1)&gt;0,IF(M54&lt;_xlfn.XLOOKUP(B54,B55:B$89,M55:M$89,,0,1),(F54-H54)*N54-_xlfn.XLOOKUP(B54,B55:B$89,S55:S$89,,0,1)*-L54*MAX(1,R54/_xlfn.XLOOKUP(B54,B55:B$89,Q55:Q$89,R54,0,1)),0),0)),0)))</f>
        <v>0</v>
      </c>
      <c r="U54" s="56" t="str" cm="1">
        <f t="array" ref="U54">IF(AND(OR(J54="call",J54="put"),T54&lt;&gt;0),1,IF(T54=0,"-",IF(L54&lt;0, _xlfn.LET(_xlpm.v_cant, ABS(L54), _xlpm.v_fecha, I54, _xlpm.v_ticker, B54, _xlpm.rango_f, I55:I$1000, _xlpm.rango_t, L55:L$1000, _xlpm.filtro, B55:B$1000=_xlpm.v_ticker, _xlpm.c_fechas, _xlfn._xlws.FILTER(_xlpm.rango_f, _xlpm.filtro*(_xlpm.rango_t&gt;0), _xlpm.v_fecha), _xlpm.c_cants, _xlfn._xlws.FILTER(_xlpm.rango_t, _xlpm.filtro*(_xlpm.rango_t&gt;0), 0), _xlpm.v_acums_pasadas, ABS(SUMIFS(L55:L$1000, B55:B$1000, _xlpm.v_ticker, L55:L$1000,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54" s="11"/>
    </row>
    <row r="55" spans="1:22" x14ac:dyDescent="0.45">
      <c r="A55" s="3" t="s">
        <v>224</v>
      </c>
      <c r="B55" s="3" t="s">
        <v>316</v>
      </c>
      <c r="D55" s="3">
        <v>1</v>
      </c>
      <c r="E55" s="3">
        <v>0.44</v>
      </c>
      <c r="F55" s="3">
        <v>44</v>
      </c>
      <c r="G55" s="3" t="s">
        <v>341</v>
      </c>
      <c r="I55" s="14">
        <f>IFERROR(DATE(MID(G55, FIND(",", G55)+2, 4), MATCH(LEFT(G55, 3), {"Jan","Feb","Mar","Apr","May","Jun","Jul","Aug","Sep","Oct","Nov","Dec"}, 0), MID(G55, 5, FIND(",", G55)-5)) + VALUE(MID(G55, FIND(":", G55)-2, 8)),I56)</f>
        <v>45908.658136574071</v>
      </c>
      <c r="J55" s="60" t="str" cm="1">
        <f t="array" ref="J55">IF(OR(ISNUMBER(SEARCH("C",B55)),ISNUMBER(SEARCH("P",B55))),IF(ISNUMBER(SEARCH("C",B55)),"Call","Put"),IF(AND(E55&lt;&gt;0,OR(C55="option exercised",C55="option assigned"),A55="buy"),_xlfn._xlws.FILTER(B$2:B$100,(LEFT(B$2:B$100,LEN(B55))=B55)*(LEN(B$2:B$100)&gt;LEN(B55))*(K$2:K$100=E55)*(I$2:I$100=I55)*(C$2:C$100=C55)*((C55="option assigned")*(ISNUMBER(SEARCH("P",B$2:B$100)))+(C55="option exercised")*(ISNUMBER(SEARCH("C",B$2:B$100)))),""),""))</f>
        <v>Put</v>
      </c>
      <c r="K55" s="9">
        <f t="shared" si="1"/>
        <v>15</v>
      </c>
      <c r="L55" s="5">
        <f t="shared" si="2"/>
        <v>1</v>
      </c>
      <c r="M55" s="5">
        <f>SUMIF(B55:B$88,B55,L55:L$88)</f>
        <v>1</v>
      </c>
      <c r="N55" s="9">
        <v>18.655000000000001</v>
      </c>
      <c r="O55" s="10" cm="1">
        <f t="array" ref="O55">IF(F55=0,_xlfn.XLOOKUP(B55,B56:B$89,O56:O$89,0,0,1),IF(_xlfn.XLOOKUP(B55,B56:B$89,M56:M$89,1,0,1)=0,IF(M55&gt;0,(F55+H55)*N55/M55,(F55-H55)*N55/-M55),IF(M55&gt;0,IF(M55&gt;_xlfn.XLOOKUP(B55,B56:B$89,M56:M$89,0,0,1),(_xlfn.XLOOKUP(B55,B56:B$89,O56:O$89,0,0,1)*_xlfn.XLOOKUP(B55,B56:B$89,M56:M$89,0,0,1)+(F55+H55)*N55+IF(_xlfn.XLOOKUP(J55,B56:B$89,J56:J$89,0,0,1)="put",-_xlfn.XLOOKUP(J55,B56:B$89,O56:O$89,0,0,1)*L55/100,_xlfn.XLOOKUP(J55,B56:B$89,O56:O$89,0,0,1)*L55/100))/M55,_xlfn.XLOOKUP(B55,B56:B$89,O56:O$89,,0,1)),IF(M55&lt;0,IF(M55&lt;_xlfn.XLOOKUP(B55,B56:B$89,M56:M$89,0,0,1),(_xlfn.XLOOKUP(B55,B56:B$89,O56:O$89,0,0,1)*_xlfn.XLOOKUP(B55,B56:B$89,M56:M$89,0,0,1)-(F55-H55)*N55)/M55,_xlfn.XLOOKUP(B55,B56:B$89,O55:O$88,,0,1)),0))))</f>
        <v>820.82</v>
      </c>
      <c r="P55" s="10" cm="1">
        <f t="array" ref="P55">IF(_xlfn.XLOOKUP(B55,J$2:J55,J$2:J55,0,0,-1)=B55,0,IF(G55="",-H55*N55,IFERROR(IF(_xlfn.XLOOKUP(B55,B56:B$89,M56:M$89,,0,1)&lt;0,IF(M55&gt;_xlfn.XLOOKUP(B55,B56:B$89,M56:M$89,,0,1),L55*_xlfn.XLOOKUP(B55,B56:B$89,O56:O$89,,0,1)+(-F55-H55)*N55,0),IF(_xlfn.XLOOKUP(B55,B56:B$89,M56:M$89,,0,1)&gt;0,IF(M55&lt;_xlfn.XLOOKUP(B55,B56:B$89,M56:M$89,,0,1),(F55-H55)*N55-_xlfn.XLOOKUP(B55,B56:B$89,O56:O$89,,0,1)*-L55,0),0)),0)))</f>
        <v>0</v>
      </c>
      <c r="Q55" s="56">
        <v>141.197</v>
      </c>
      <c r="R55" s="56">
        <v>140.86699999999999</v>
      </c>
      <c r="S55" s="10" cm="1">
        <f t="array" ref="S55">IF(F55=0,_xlfn.XLOOKUP(B55,B56:B$89,S56:S$89,0,0,1),IF(_xlfn.XLOOKUP(B55,B56:B$89,M56:M$89,1,0,1)=0,IF(M55&gt;0,(F55+H55)*N55/M55,(F55-H55)*N55/-M55),IF(M55&gt;0,IF(M55&gt;_xlfn.XLOOKUP(B55,B56:B$89,M56:M$89,0,0,1),(_xlfn.XLOOKUP(B55,B56:B$89,S56:S$89,0,0,1)*MAX(1,Q55/_xlfn.XLOOKUP(B55,B56:B$89,Q56:Q$89,Q55,0,1))*_xlfn.XLOOKUP(B55,B56:B$89,M56:M$89,0,0,1)+(F55+H55)*N55+IF(_xlfn.XLOOKUP(J55,B56:B$89,J56:J$89,0,0,1)="put",-_xlfn.XLOOKUP(J55,B56:B$89,S56:S$89,0,0,1)*L55/100,_xlfn.XLOOKUP(J55,B56:B$89,S56:S$89,0,0,1)*L55/100))/M55,_xlfn.XLOOKUP(B55,B56:B$89,S56:S$89,,0,1)*MAX(1,Q55/_xlfn.XLOOKUP(B55,B56:B$89,Q56:Q$89,Q55,0,1))),IF(M55&lt;0,IF(M55&lt;_xlfn.XLOOKUP(B55,B56:B$89,M56:M$89,0,0,1),(_xlfn.XLOOKUP(B55,B56:B$89,S56:S$89,0,0,1)*_xlfn.XLOOKUP(B55,B56:B$89,M56:M$89,0,0,1)-(F55-H55)*N55)/M55,_xlfn.XLOOKUP(B55,B56:B$89,S56:S$89,,0,1)),0))))</f>
        <v>820.82</v>
      </c>
      <c r="T55" s="59" cm="1">
        <f t="array" ref="T55">IF(_xlfn.XLOOKUP(B55,J$2:J55,J$2:J55,0,0,-1)=B55,0,IF(G55="",-H55*N55,IFERROR(IF(_xlfn.XLOOKUP(B55,B56:B$89,M56:M$89,,0,1)&lt;0,IF(M55&gt;_xlfn.XLOOKUP(B55,B56:B$89,M56:M$89,,0,1),L55*_xlfn.XLOOKUP(B55,B56:B$89,S56:S$89,,0,1)+(-F55-H55)*N55,0),IF(_xlfn.XLOOKUP(B55,B56:B$89,M56:M$89,,0,1)&gt;0,IF(M55&lt;_xlfn.XLOOKUP(B55,B56:B$89,M56:M$89,,0,1),(F55-H55)*N55-_xlfn.XLOOKUP(B55,B56:B$89,S56:S$89,,0,1)*-L55*MAX(1,R55/_xlfn.XLOOKUP(B55,B56:B$89,Q56:Q$89,R55,0,1)),0),0)),0)))</f>
        <v>0</v>
      </c>
      <c r="U55" s="56" t="str" cm="1">
        <f t="array" ref="U55">IF(AND(OR(J55="call",J55="put"),T55&lt;&gt;0),1,IF(T55=0,"-",IF(L55&lt;0, _xlfn.LET(_xlpm.v_cant, ABS(L55), _xlpm.v_fecha, I55, _xlpm.v_ticker, B55, _xlpm.rango_f, I56:I$1000, _xlpm.rango_t, L56:L$1000, _xlpm.filtro, B56:B$1000=_xlpm.v_ticker, _xlpm.c_fechas, _xlfn._xlws.FILTER(_xlpm.rango_f, _xlpm.filtro*(_xlpm.rango_t&gt;0), _xlpm.v_fecha), _xlpm.c_cants, _xlfn._xlws.FILTER(_xlpm.rango_t, _xlpm.filtro*(_xlpm.rango_t&gt;0), 0), _xlpm.v_acums_pasadas, ABS(SUMIFS(L56:L$1000, B56:B$1000, _xlpm.v_ticker, L56:L$1000,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55" s="11"/>
    </row>
    <row r="56" spans="1:22" x14ac:dyDescent="0.45">
      <c r="A56" s="3" t="s">
        <v>224</v>
      </c>
      <c r="B56" s="3" t="s">
        <v>309</v>
      </c>
      <c r="D56" s="3">
        <v>1</v>
      </c>
      <c r="E56" s="3">
        <v>0.53</v>
      </c>
      <c r="F56" s="3">
        <v>53</v>
      </c>
      <c r="G56" s="3" t="s">
        <v>341</v>
      </c>
      <c r="I56" s="14">
        <f>IFERROR(DATE(MID(G56, FIND(",", G56)+2, 4), MATCH(LEFT(G56, 3), {"Jan","Feb","Mar","Apr","May","Jun","Jul","Aug","Sep","Oct","Nov","Dec"}, 0), MID(G56, 5, FIND(",", G56)-5)) + VALUE(MID(G56, FIND(":", G56)-2, 8)),I57)</f>
        <v>45908.658136574071</v>
      </c>
      <c r="J56" s="60" t="str" cm="1">
        <f t="array" ref="J56">IF(OR(ISNUMBER(SEARCH("C",B56)),ISNUMBER(SEARCH("P",B56))),IF(ISNUMBER(SEARCH("C",B56)),"Call","Put"),IF(AND(E56&lt;&gt;0,OR(C56="option exercised",C56="option assigned"),A56="buy"),_xlfn._xlws.FILTER(B$2:B$100,(LEFT(B$2:B$100,LEN(B56))=B56)*(LEN(B$2:B$100)&gt;LEN(B56))*(K$2:K$100=E56)*(I$2:I$100=I56)*(C$2:C$100=C56)*((C56="option assigned")*(ISNUMBER(SEARCH("P",B$2:B$100)))+(C56="option exercised")*(ISNUMBER(SEARCH("C",B$2:B$100)))),""),""))</f>
        <v>Call</v>
      </c>
      <c r="K56" s="9">
        <f t="shared" si="1"/>
        <v>15.5</v>
      </c>
      <c r="L56" s="5">
        <f t="shared" si="2"/>
        <v>1</v>
      </c>
      <c r="M56" s="5">
        <f>SUMIF(B56:B$88,B56,L56:L$88)</f>
        <v>1</v>
      </c>
      <c r="N56" s="9">
        <v>18.655000000000001</v>
      </c>
      <c r="O56" s="10" cm="1">
        <f t="array" ref="O56">IF(F56=0,_xlfn.XLOOKUP(B56,B57:B$89,O57:O$89,0,0,1),IF(_xlfn.XLOOKUP(B56,B57:B$89,M57:M$89,1,0,1)=0,IF(M56&gt;0,(F56+H56)*N56/M56,(F56-H56)*N56/-M56),IF(M56&gt;0,IF(M56&gt;_xlfn.XLOOKUP(B56,B57:B$89,M57:M$89,0,0,1),(_xlfn.XLOOKUP(B56,B57:B$89,O57:O$89,0,0,1)*_xlfn.XLOOKUP(B56,B57:B$89,M57:M$89,0,0,1)+(F56+H56)*N56+IF(_xlfn.XLOOKUP(J56,B57:B$89,J57:J$89,0,0,1)="put",-_xlfn.XLOOKUP(J56,B57:B$89,O57:O$89,0,0,1)*L56/100,_xlfn.XLOOKUP(J56,B57:B$89,O57:O$89,0,0,1)*L56/100))/M56,_xlfn.XLOOKUP(B56,B57:B$89,O57:O$89,,0,1)),IF(M56&lt;0,IF(M56&lt;_xlfn.XLOOKUP(B56,B57:B$89,M57:M$89,0,0,1),(_xlfn.XLOOKUP(B56,B57:B$89,O57:O$89,0,0,1)*_xlfn.XLOOKUP(B56,B57:B$89,M57:M$89,0,0,1)-(F56-H56)*N56)/M56,_xlfn.XLOOKUP(B56,B57:B$89,O56:O$88,,0,1)),0))))</f>
        <v>988.71500000000003</v>
      </c>
      <c r="P56" s="10" cm="1">
        <f t="array" ref="P56">IF(_xlfn.XLOOKUP(B56,J$2:J56,J$2:J56,0,0,-1)=B56,0,IF(G56="",-H56*N56,IFERROR(IF(_xlfn.XLOOKUP(B56,B57:B$89,M57:M$89,,0,1)&lt;0,IF(M56&gt;_xlfn.XLOOKUP(B56,B57:B$89,M57:M$89,,0,1),L56*_xlfn.XLOOKUP(B56,B57:B$89,O57:O$89,,0,1)+(-F56-H56)*N56,0),IF(_xlfn.XLOOKUP(B56,B57:B$89,M57:M$89,,0,1)&gt;0,IF(M56&lt;_xlfn.XLOOKUP(B56,B57:B$89,M57:M$89,,0,1),(F56-H56)*N56-_xlfn.XLOOKUP(B56,B57:B$89,O57:O$89,,0,1)*-L56,0),0)),0)))</f>
        <v>0</v>
      </c>
      <c r="Q56" s="56">
        <v>141.197</v>
      </c>
      <c r="R56" s="56">
        <v>140.86699999999999</v>
      </c>
      <c r="S56" s="10" cm="1">
        <f t="array" ref="S56">IF(F56=0,_xlfn.XLOOKUP(B56,B57:B$89,S57:S$89,0,0,1),IF(_xlfn.XLOOKUP(B56,B57:B$89,M57:M$89,1,0,1)=0,IF(M56&gt;0,(F56+H56)*N56/M56,(F56-H56)*N56/-M56),IF(M56&gt;0,IF(M56&gt;_xlfn.XLOOKUP(B56,B57:B$89,M57:M$89,0,0,1),(_xlfn.XLOOKUP(B56,B57:B$89,S57:S$89,0,0,1)*MAX(1,Q56/_xlfn.XLOOKUP(B56,B57:B$89,Q57:Q$89,Q56,0,1))*_xlfn.XLOOKUP(B56,B57:B$89,M57:M$89,0,0,1)+(F56+H56)*N56+IF(_xlfn.XLOOKUP(J56,B57:B$89,J57:J$89,0,0,1)="put",-_xlfn.XLOOKUP(J56,B57:B$89,S57:S$89,0,0,1)*L56/100,_xlfn.XLOOKUP(J56,B57:B$89,S57:S$89,0,0,1)*L56/100))/M56,_xlfn.XLOOKUP(B56,B57:B$89,S57:S$89,,0,1)*MAX(1,Q56/_xlfn.XLOOKUP(B56,B57:B$89,Q57:Q$89,Q56,0,1))),IF(M56&lt;0,IF(M56&lt;_xlfn.XLOOKUP(B56,B57:B$89,M57:M$89,0,0,1),(_xlfn.XLOOKUP(B56,B57:B$89,S57:S$89,0,0,1)*_xlfn.XLOOKUP(B56,B57:B$89,M57:M$89,0,0,1)-(F56-H56)*N56)/M56,_xlfn.XLOOKUP(B56,B57:B$89,S57:S$89,,0,1)),0))))</f>
        <v>988.71500000000003</v>
      </c>
      <c r="T56" s="59" cm="1">
        <f t="array" ref="T56">IF(_xlfn.XLOOKUP(B56,J$2:J56,J$2:J56,0,0,-1)=B56,0,IF(G56="",-H56*N56,IFERROR(IF(_xlfn.XLOOKUP(B56,B57:B$89,M57:M$89,,0,1)&lt;0,IF(M56&gt;_xlfn.XLOOKUP(B56,B57:B$89,M57:M$89,,0,1),L56*_xlfn.XLOOKUP(B56,B57:B$89,S57:S$89,,0,1)+(-F56-H56)*N56,0),IF(_xlfn.XLOOKUP(B56,B57:B$89,M57:M$89,,0,1)&gt;0,IF(M56&lt;_xlfn.XLOOKUP(B56,B57:B$89,M57:M$89,,0,1),(F56-H56)*N56-_xlfn.XLOOKUP(B56,B57:B$89,S57:S$89,,0,1)*-L56*MAX(1,R56/_xlfn.XLOOKUP(B56,B57:B$89,Q57:Q$89,R56,0,1)),0),0)),0)))</f>
        <v>0</v>
      </c>
      <c r="U56" s="56" t="str" cm="1">
        <f t="array" ref="U56">IF(AND(OR(J56="call",J56="put"),T56&lt;&gt;0),1,IF(T56=0,"-",IF(L56&lt;0, _xlfn.LET(_xlpm.v_cant, ABS(L56), _xlpm.v_fecha, I56, _xlpm.v_ticker, B56, _xlpm.rango_f, I57:I$1000, _xlpm.rango_t, L57:L$1000, _xlpm.filtro, B57:B$1000=_xlpm.v_ticker, _xlpm.c_fechas, _xlfn._xlws.FILTER(_xlpm.rango_f, _xlpm.filtro*(_xlpm.rango_t&gt;0), _xlpm.v_fecha), _xlpm.c_cants, _xlfn._xlws.FILTER(_xlpm.rango_t, _xlpm.filtro*(_xlpm.rango_t&gt;0), 0), _xlpm.v_acums_pasadas, ABS(SUMIFS(L57:L$1000, B57:B$1000, _xlpm.v_ticker, L57:L$1000,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56" s="11"/>
    </row>
    <row r="57" spans="1:22" x14ac:dyDescent="0.45">
      <c r="A57" s="3" t="s">
        <v>222</v>
      </c>
      <c r="B57" s="3" t="s">
        <v>307</v>
      </c>
      <c r="D57" s="3">
        <v>1</v>
      </c>
      <c r="E57" s="3">
        <v>0.34</v>
      </c>
      <c r="F57" s="3">
        <v>34</v>
      </c>
      <c r="G57" s="3" t="s">
        <v>341</v>
      </c>
      <c r="I57" s="14">
        <f>IFERROR(DATE(MID(G57, FIND(",", G57)+2, 4), MATCH(LEFT(G57, 3), {"Jan","Feb","Mar","Apr","May","Jun","Jul","Aug","Sep","Oct","Nov","Dec"}, 0), MID(G57, 5, FIND(",", G57)-5)) + VALUE(MID(G57, FIND(":", G57)-2, 8)),I58)</f>
        <v>45908.658136574071</v>
      </c>
      <c r="J57" s="60" t="str" cm="1">
        <f t="array" ref="J57">IF(OR(ISNUMBER(SEARCH("C",B57)),ISNUMBER(SEARCH("P",B57))),IF(ISNUMBER(SEARCH("C",B57)),"Call","Put"),IF(AND(E57&lt;&gt;0,OR(C57="option exercised",C57="option assigned"),A57="buy"),_xlfn._xlws.FILTER(B$2:B$100,(LEFT(B$2:B$100,LEN(B57))=B57)*(LEN(B$2:B$100)&gt;LEN(B57))*(K$2:K$100=E57)*(I$2:I$100=I57)*(C$2:C$100=C57)*((C57="option assigned")*(ISNUMBER(SEARCH("P",B$2:B$100)))+(C57="option exercised")*(ISNUMBER(SEARCH("C",B$2:B$100)))),""),""))</f>
        <v>Call</v>
      </c>
      <c r="K57" s="9">
        <f t="shared" si="1"/>
        <v>16</v>
      </c>
      <c r="L57" s="5">
        <f t="shared" si="2"/>
        <v>-1</v>
      </c>
      <c r="M57" s="5">
        <f>SUMIF(B57:B$88,B57,L57:L$88)</f>
        <v>-1</v>
      </c>
      <c r="N57" s="9">
        <v>18.655000000000001</v>
      </c>
      <c r="O57" s="10" cm="1">
        <f t="array" ref="O57">IF(F57=0,_xlfn.XLOOKUP(B57,B58:B$89,O58:O$89,0,0,1),IF(_xlfn.XLOOKUP(B57,B58:B$89,M58:M$89,1,0,1)=0,IF(M57&gt;0,(F57+H57)*N57/M57,(F57-H57)*N57/-M57),IF(M57&gt;0,IF(M57&gt;_xlfn.XLOOKUP(B57,B58:B$89,M58:M$89,0,0,1),(_xlfn.XLOOKUP(B57,B58:B$89,O58:O$89,0,0,1)*_xlfn.XLOOKUP(B57,B58:B$89,M58:M$89,0,0,1)+(F57+H57)*N57+IF(_xlfn.XLOOKUP(J57,B58:B$89,J58:J$89,0,0,1)="put",-_xlfn.XLOOKUP(J57,B58:B$89,O58:O$89,0,0,1)*L57/100,_xlfn.XLOOKUP(J57,B58:B$89,O58:O$89,0,0,1)*L57/100))/M57,_xlfn.XLOOKUP(B57,B58:B$89,O58:O$89,,0,1)),IF(M57&lt;0,IF(M57&lt;_xlfn.XLOOKUP(B57,B58:B$89,M58:M$89,0,0,1),(_xlfn.XLOOKUP(B57,B58:B$89,O58:O$89,0,0,1)*_xlfn.XLOOKUP(B57,B58:B$89,M58:M$89,0,0,1)-(F57-H57)*N57)/M57,_xlfn.XLOOKUP(B57,B58:B$89,O57:O$88,,0,1)),0))))</f>
        <v>634.27</v>
      </c>
      <c r="P57" s="10" cm="1">
        <f t="array" ref="P57">IF(_xlfn.XLOOKUP(B57,J$2:J57,J$2:J57,0,0,-1)=B57,0,IF(G57="",-H57*N57,IFERROR(IF(_xlfn.XLOOKUP(B57,B58:B$89,M58:M$89,,0,1)&lt;0,IF(M57&gt;_xlfn.XLOOKUP(B57,B58:B$89,M58:M$89,,0,1),L57*_xlfn.XLOOKUP(B57,B58:B$89,O58:O$89,,0,1)+(-F57-H57)*N57,0),IF(_xlfn.XLOOKUP(B57,B58:B$89,M58:M$89,,0,1)&gt;0,IF(M57&lt;_xlfn.XLOOKUP(B57,B58:B$89,M58:M$89,,0,1),(F57-H57)*N57-_xlfn.XLOOKUP(B57,B58:B$89,O58:O$89,,0,1)*-L57,0),0)),0)))</f>
        <v>0</v>
      </c>
      <c r="Q57" s="56">
        <v>141.197</v>
      </c>
      <c r="R57" s="56">
        <v>140.86699999999999</v>
      </c>
      <c r="S57" s="10" cm="1">
        <f t="array" ref="S57">IF(F57=0,_xlfn.XLOOKUP(B57,B58:B$89,S58:S$89,0,0,1),IF(_xlfn.XLOOKUP(B57,B58:B$89,M58:M$89,1,0,1)=0,IF(M57&gt;0,(F57+H57)*N57/M57,(F57-H57)*N57/-M57),IF(M57&gt;0,IF(M57&gt;_xlfn.XLOOKUP(B57,B58:B$89,M58:M$89,0,0,1),(_xlfn.XLOOKUP(B57,B58:B$89,S58:S$89,0,0,1)*MAX(1,Q57/_xlfn.XLOOKUP(B57,B58:B$89,Q58:Q$89,Q57,0,1))*_xlfn.XLOOKUP(B57,B58:B$89,M58:M$89,0,0,1)+(F57+H57)*N57+IF(_xlfn.XLOOKUP(J57,B58:B$89,J58:J$89,0,0,1)="put",-_xlfn.XLOOKUP(J57,B58:B$89,S58:S$89,0,0,1)*L57/100,_xlfn.XLOOKUP(J57,B58:B$89,S58:S$89,0,0,1)*L57/100))/M57,_xlfn.XLOOKUP(B57,B58:B$89,S58:S$89,,0,1)*MAX(1,Q57/_xlfn.XLOOKUP(B57,B58:B$89,Q58:Q$89,Q57,0,1))),IF(M57&lt;0,IF(M57&lt;_xlfn.XLOOKUP(B57,B58:B$89,M58:M$89,0,0,1),(_xlfn.XLOOKUP(B57,B58:B$89,S58:S$89,0,0,1)*_xlfn.XLOOKUP(B57,B58:B$89,M58:M$89,0,0,1)-(F57-H57)*N57)/M57,_xlfn.XLOOKUP(B57,B58:B$89,S58:S$89,,0,1)),0))))</f>
        <v>634.27</v>
      </c>
      <c r="T57" s="59" cm="1">
        <f t="array" ref="T57">IF(_xlfn.XLOOKUP(B57,J$2:J57,J$2:J57,0,0,-1)=B57,0,IF(G57="",-H57*N57,IFERROR(IF(_xlfn.XLOOKUP(B57,B58:B$89,M58:M$89,,0,1)&lt;0,IF(M57&gt;_xlfn.XLOOKUP(B57,B58:B$89,M58:M$89,,0,1),L57*_xlfn.XLOOKUP(B57,B58:B$89,S58:S$89,,0,1)+(-F57-H57)*N57,0),IF(_xlfn.XLOOKUP(B57,B58:B$89,M58:M$89,,0,1)&gt;0,IF(M57&lt;_xlfn.XLOOKUP(B57,B58:B$89,M58:M$89,,0,1),(F57-H57)*N57-_xlfn.XLOOKUP(B57,B58:B$89,S58:S$89,,0,1)*-L57*MAX(1,R57/_xlfn.XLOOKUP(B57,B58:B$89,Q58:Q$89,R57,0,1)),0),0)),0)))</f>
        <v>0</v>
      </c>
      <c r="U57" s="56" t="str" cm="1">
        <f t="array" ref="U57">IF(AND(OR(J57="call",J57="put"),T57&lt;&gt;0),1,IF(T57=0,"-",IF(L57&lt;0, _xlfn.LET(_xlpm.v_cant, ABS(L57), _xlpm.v_fecha, I57, _xlpm.v_ticker, B57, _xlpm.rango_f, I58:I$1000, _xlpm.rango_t, L58:L$1000, _xlpm.filtro, B58:B$1000=_xlpm.v_ticker, _xlpm.c_fechas, _xlfn._xlws.FILTER(_xlpm.rango_f, _xlpm.filtro*(_xlpm.rango_t&gt;0), _xlpm.v_fecha), _xlpm.c_cants, _xlfn._xlws.FILTER(_xlpm.rango_t, _xlpm.filtro*(_xlpm.rango_t&gt;0), 0), _xlpm.v_acums_pasadas, ABS(SUMIFS(L58:L$1000, B58:B$1000, _xlpm.v_ticker, L58:L$1000,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57" s="11"/>
    </row>
    <row r="58" spans="1:22" x14ac:dyDescent="0.45">
      <c r="A58" s="3" t="s">
        <v>222</v>
      </c>
      <c r="B58" s="3" t="s">
        <v>342</v>
      </c>
      <c r="H58" s="3">
        <v>11.98</v>
      </c>
      <c r="I58" s="14">
        <f>IFERROR(DATE(MID(G58, FIND(",", G58)+2, 4), MATCH(LEFT(G58, 3), {"Jan","Feb","Mar","Apr","May","Jun","Jul","Aug","Sep","Oct","Nov","Dec"}, 0), MID(G58, 5, FIND(",", G58)-5)) + VALUE(MID(G58, FIND(":", G58)-2, 8)),I59)</f>
        <v>45905.57576388889</v>
      </c>
      <c r="J58" s="60" t="str" cm="1">
        <f t="array" ref="J58">IF(OR(ISNUMBER(SEARCH("C",B58)),ISNUMBER(SEARCH("P",B58))),IF(ISNUMBER(SEARCH("C",B58)),"Call","Put"),IF(AND(E58&lt;&gt;0,OR(C58="option exercised",C58="option assigned"),A58="buy"),_xlfn._xlws.FILTER(B$2:B$100,(LEFT(B$2:B$100,LEN(B58))=B58)*(LEN(B$2:B$100)&gt;LEN(B58))*(K$2:K$100=E58)*(I$2:I$100=I58)*(C$2:C$100=C58)*((C58="option assigned")*(ISNUMBER(SEARCH("P",B$2:B$100)))+(C58="option exercised")*(ISNUMBER(SEARCH("C",B$2:B$100)))),""),""))</f>
        <v>Call</v>
      </c>
      <c r="K58" s="9">
        <f t="shared" si="1"/>
        <v>0</v>
      </c>
      <c r="L58" s="5">
        <f t="shared" si="2"/>
        <v>0</v>
      </c>
      <c r="M58" s="5">
        <f>SUMIF(B58:B$88,B58,L58:L$88)</f>
        <v>0</v>
      </c>
      <c r="N58" s="9">
        <v>18.679200000000002</v>
      </c>
      <c r="O58" s="10" cm="1">
        <f t="array" ref="O58">IF(F58=0,_xlfn.XLOOKUP(B58,B59:B$89,O59:O$89,0,0,1),IF(_xlfn.XLOOKUP(B58,B59:B$89,M59:M$89,1,0,1)=0,IF(M58&gt;0,(F58+H58)*N58/M58,(F58-H58)*N58/-M58),IF(M58&gt;0,IF(M58&gt;_xlfn.XLOOKUP(B58,B59:B$89,M59:M$89,0,0,1),(_xlfn.XLOOKUP(B58,B59:B$89,O59:O$89,0,0,1)*_xlfn.XLOOKUP(B58,B59:B$89,M59:M$89,0,0,1)+(F58+H58)*N58+IF(_xlfn.XLOOKUP(J58,B59:B$89,J59:J$89,0,0,1)="put",-_xlfn.XLOOKUP(J58,B59:B$89,O59:O$89,0,0,1)*L58/100,_xlfn.XLOOKUP(J58,B59:B$89,O59:O$89,0,0,1)*L58/100))/M58,_xlfn.XLOOKUP(B58,B59:B$89,O59:O$89,,0,1)),IF(M58&lt;0,IF(M58&lt;_xlfn.XLOOKUP(B58,B59:B$89,M59:M$89,0,0,1),(_xlfn.XLOOKUP(B58,B59:B$89,O59:O$89,0,0,1)*_xlfn.XLOOKUP(B58,B59:B$89,M59:M$89,0,0,1)-(F58-H58)*N58)/M58,_xlfn.XLOOKUP(B58,B59:B$89,O58:O$88,,0,1)),0))))</f>
        <v>0</v>
      </c>
      <c r="P58" s="10" cm="1">
        <f t="array" ref="P58">IF(_xlfn.XLOOKUP(B58,J$2:J58,J$2:J58,0,0,-1)=B58,0,IF(G58="",-H58*N58,IFERROR(IF(_xlfn.XLOOKUP(B58,B59:B$89,M59:M$89,,0,1)&lt;0,IF(M58&gt;_xlfn.XLOOKUP(B58,B59:B$89,M59:M$89,,0,1),L58*_xlfn.XLOOKUP(B58,B59:B$89,O59:O$89,,0,1)+(-F58-H58)*N58,0),IF(_xlfn.XLOOKUP(B58,B59:B$89,M59:M$89,,0,1)&gt;0,IF(M58&lt;_xlfn.XLOOKUP(B58,B59:B$89,M59:M$89,,0,1),(F58-H58)*N58-_xlfn.XLOOKUP(B58,B59:B$89,O59:O$89,,0,1)*-L58,0),0)),0)))</f>
        <v>-223.77681600000003</v>
      </c>
      <c r="Q58" s="56">
        <v>141.197</v>
      </c>
      <c r="R58" s="56">
        <v>140.86699999999999</v>
      </c>
      <c r="S58" s="10" cm="1">
        <f t="array" ref="S58">IF(F58=0,_xlfn.XLOOKUP(B58,B59:B$89,S59:S$89,0,0,1),IF(_xlfn.XLOOKUP(B58,B59:B$89,M59:M$89,1,0,1)=0,IF(M58&gt;0,(F58+H58)*N58/M58,(F58-H58)*N58/-M58),IF(M58&gt;0,IF(M58&gt;_xlfn.XLOOKUP(B58,B59:B$89,M59:M$89,0,0,1),(_xlfn.XLOOKUP(B58,B59:B$89,S59:S$89,0,0,1)*MAX(1,Q58/_xlfn.XLOOKUP(B58,B59:B$89,Q59:Q$89,Q58,0,1))*_xlfn.XLOOKUP(B58,B59:B$89,M59:M$89,0,0,1)+(F58+H58)*N58+IF(_xlfn.XLOOKUP(J58,B59:B$89,J59:J$89,0,0,1)="put",-_xlfn.XLOOKUP(J58,B59:B$89,S59:S$89,0,0,1)*L58/100,_xlfn.XLOOKUP(J58,B59:B$89,S59:S$89,0,0,1)*L58/100))/M58,_xlfn.XLOOKUP(B58,B59:B$89,S59:S$89,,0,1)*MAX(1,Q58/_xlfn.XLOOKUP(B58,B59:B$89,Q59:Q$89,Q58,0,1))),IF(M58&lt;0,IF(M58&lt;_xlfn.XLOOKUP(B58,B59:B$89,M59:M$89,0,0,1),(_xlfn.XLOOKUP(B58,B59:B$89,S59:S$89,0,0,1)*_xlfn.XLOOKUP(B58,B59:B$89,M59:M$89,0,0,1)-(F58-H58)*N58)/M58,_xlfn.XLOOKUP(B58,B59:B$89,S59:S$89,,0,1)),0))))</f>
        <v>0</v>
      </c>
      <c r="T58" s="59" cm="1">
        <f t="array" ref="T58">IF(_xlfn.XLOOKUP(B58,J$2:J58,J$2:J58,0,0,-1)=B58,0,IF(G58="",-H58*N58,IFERROR(IF(_xlfn.XLOOKUP(B58,B59:B$89,M59:M$89,,0,1)&lt;0,IF(M58&gt;_xlfn.XLOOKUP(B58,B59:B$89,M59:M$89,,0,1),L58*_xlfn.XLOOKUP(B58,B59:B$89,S59:S$89,,0,1)+(-F58-H58)*N58,0),IF(_xlfn.XLOOKUP(B58,B59:B$89,M59:M$89,,0,1)&gt;0,IF(M58&lt;_xlfn.XLOOKUP(B58,B59:B$89,M59:M$89,,0,1),(F58-H58)*N58-_xlfn.XLOOKUP(B58,B59:B$89,S59:S$89,,0,1)*-L58*MAX(1,R58/_xlfn.XLOOKUP(B58,B59:B$89,Q59:Q$89,R58,0,1)),0),0)),0)))</f>
        <v>-223.77681600000003</v>
      </c>
      <c r="U58" s="56" cm="1">
        <f t="array" ref="U58">IF(AND(OR(J58="call",J58="put"),T58&lt;&gt;0),1,IF(T58=0,"-",IF(L58&lt;0, _xlfn.LET(_xlpm.v_cant, ABS(L58), _xlpm.v_fecha, I58, _xlpm.v_ticker, B58, _xlpm.rango_f, I59:I$1000, _xlpm.rango_t, L59:L$1000, _xlpm.filtro, B59:B$1000=_xlpm.v_ticker, _xlpm.c_fechas, _xlfn._xlws.FILTER(_xlpm.rango_f, _xlpm.filtro*(_xlpm.rango_t&gt;0), _xlpm.v_fecha), _xlpm.c_cants, _xlfn._xlws.FILTER(_xlpm.rango_t, _xlpm.filtro*(_xlpm.rango_t&gt;0), 0), _xlpm.v_acums_pasadas, ABS(SUMIFS(L59:L$1000, B59:B$1000, _xlpm.v_ticker, L59:L$1000,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58" s="11"/>
    </row>
    <row r="59" spans="1:22" x14ac:dyDescent="0.45">
      <c r="A59" s="3" t="s">
        <v>224</v>
      </c>
      <c r="B59" s="3" t="s">
        <v>343</v>
      </c>
      <c r="D59" s="3">
        <v>1</v>
      </c>
      <c r="E59" s="3">
        <v>0.01</v>
      </c>
      <c r="F59" s="3">
        <v>1</v>
      </c>
      <c r="G59" s="3" t="s">
        <v>344</v>
      </c>
      <c r="I59" s="14">
        <f>IFERROR(DATE(MID(G59, FIND(",", G59)+2, 4), MATCH(LEFT(G59, 3), {"Jan","Feb","Mar","Apr","May","Jun","Jul","Aug","Sep","Oct","Nov","Dec"}, 0), MID(G59, 5, FIND(",", G59)-5)) + VALUE(MID(G59, FIND(":", G59)-2, 8)),I60)</f>
        <v>45905.57576388889</v>
      </c>
      <c r="J59" s="60" t="str" cm="1">
        <f t="array" ref="J59">IF(OR(ISNUMBER(SEARCH("C",B59)),ISNUMBER(SEARCH("P",B59))),IF(ISNUMBER(SEARCH("C",B59)),"Call","Put"),IF(AND(E59&lt;&gt;0,OR(C59="option exercised",C59="option assigned"),A59="buy"),_xlfn._xlws.FILTER(B$2:B$100,(LEFT(B$2:B$100,LEN(B59))=B59)*(LEN(B$2:B$100)&gt;LEN(B59))*(K$2:K$100=E59)*(I$2:I$100=I59)*(C$2:C$100=C59)*((C59="option assigned")*(ISNUMBER(SEARCH("P",B$2:B$100)))+(C59="option exercised")*(ISNUMBER(SEARCH("C",B$2:B$100)))),""),""))</f>
        <v>Put</v>
      </c>
      <c r="K59" s="9">
        <f t="shared" si="1"/>
        <v>5.5</v>
      </c>
      <c r="L59" s="5">
        <f t="shared" si="2"/>
        <v>1</v>
      </c>
      <c r="M59" s="5">
        <f>SUMIF(B59:B$88,B59,L59:L$88)</f>
        <v>0</v>
      </c>
      <c r="N59" s="9">
        <v>18.679200000000002</v>
      </c>
      <c r="O59" s="10" cm="1">
        <f t="array" ref="O59">IF(F59=0,_xlfn.XLOOKUP(B59,B60:B$89,O60:O$89,0,0,1),IF(_xlfn.XLOOKUP(B59,B60:B$89,M60:M$89,1,0,1)=0,IF(M59&gt;0,(F59+H59)*N59/M59,(F59-H59)*N59/-M59),IF(M59&gt;0,IF(M59&gt;_xlfn.XLOOKUP(B59,B60:B$89,M60:M$89,0,0,1),(_xlfn.XLOOKUP(B59,B60:B$89,O60:O$89,0,0,1)*_xlfn.XLOOKUP(B59,B60:B$89,M60:M$89,0,0,1)+(F59+H59)*N59+IF(_xlfn.XLOOKUP(J59,B60:B$89,J60:J$89,0,0,1)="put",-_xlfn.XLOOKUP(J59,B60:B$89,O60:O$89,0,0,1)*L59/100,_xlfn.XLOOKUP(J59,B60:B$89,O60:O$89,0,0,1)*L59/100))/M59,_xlfn.XLOOKUP(B59,B60:B$89,O60:O$89,,0,1)),IF(M59&lt;0,IF(M59&lt;_xlfn.XLOOKUP(B59,B60:B$89,M60:M$89,0,0,1),(_xlfn.XLOOKUP(B59,B60:B$89,O60:O$89,0,0,1)*_xlfn.XLOOKUP(B59,B60:B$89,M60:M$89,0,0,1)-(F59-H59)*N59)/M59,_xlfn.XLOOKUP(B59,B60:B$89,O59:O$88,,0,1)),0))))</f>
        <v>0</v>
      </c>
      <c r="P59" s="10" cm="1">
        <f t="array" ref="P59">IF(_xlfn.XLOOKUP(B59,J$2:J59,J$2:J59,0,0,-1)=B59,0,IF(G59="",-H59*N59,IFERROR(IF(_xlfn.XLOOKUP(B59,B60:B$89,M60:M$89,,0,1)&lt;0,IF(M59&gt;_xlfn.XLOOKUP(B59,B60:B$89,M60:M$89,,0,1),L59*_xlfn.XLOOKUP(B59,B60:B$89,O60:O$89,,0,1)+(-F59-H59)*N59,0),IF(_xlfn.XLOOKUP(B59,B60:B$89,M60:M$89,,0,1)&gt;0,IF(M59&lt;_xlfn.XLOOKUP(B59,B60:B$89,M60:M$89,,0,1),(F59-H59)*N59-_xlfn.XLOOKUP(B59,B60:B$89,O60:O$89,,0,1)*-L59,0),0)),0)))</f>
        <v>241.65079999999998</v>
      </c>
      <c r="Q59" s="56">
        <v>141.197</v>
      </c>
      <c r="R59" s="56">
        <v>140.86699999999999</v>
      </c>
      <c r="S59" s="10" cm="1">
        <f t="array" ref="S59">IF(F59=0,_xlfn.XLOOKUP(B59,B60:B$89,S60:S$89,0,0,1),IF(_xlfn.XLOOKUP(B59,B60:B$89,M60:M$89,1,0,1)=0,IF(M59&gt;0,(F59+H59)*N59/M59,(F59-H59)*N59/-M59),IF(M59&gt;0,IF(M59&gt;_xlfn.XLOOKUP(B59,B60:B$89,M60:M$89,0,0,1),(_xlfn.XLOOKUP(B59,B60:B$89,S60:S$89,0,0,1)*MAX(1,Q59/_xlfn.XLOOKUP(B59,B60:B$89,Q60:Q$89,Q59,0,1))*_xlfn.XLOOKUP(B59,B60:B$89,M60:M$89,0,0,1)+(F59+H59)*N59+IF(_xlfn.XLOOKUP(J59,B60:B$89,J60:J$89,0,0,1)="put",-_xlfn.XLOOKUP(J59,B60:B$89,S60:S$89,0,0,1)*L59/100,_xlfn.XLOOKUP(J59,B60:B$89,S60:S$89,0,0,1)*L59/100))/M59,_xlfn.XLOOKUP(B59,B60:B$89,S60:S$89,,0,1)*MAX(1,Q59/_xlfn.XLOOKUP(B59,B60:B$89,Q60:Q$89,Q59,0,1))),IF(M59&lt;0,IF(M59&lt;_xlfn.XLOOKUP(B59,B60:B$89,M60:M$89,0,0,1),(_xlfn.XLOOKUP(B59,B60:B$89,S60:S$89,0,0,1)*_xlfn.XLOOKUP(B59,B60:B$89,M60:M$89,0,0,1)-(F59-H59)*N59)/M59,_xlfn.XLOOKUP(B59,B60:B$89,S60:S$89,,0,1)),0))))</f>
        <v>0</v>
      </c>
      <c r="T59" s="59" cm="1">
        <f t="array" ref="T59">IF(_xlfn.XLOOKUP(B59,J$2:J59,J$2:J59,0,0,-1)=B59,0,IF(G59="",-H59*N59,IFERROR(IF(_xlfn.XLOOKUP(B59,B60:B$89,M60:M$89,,0,1)&lt;0,IF(M59&gt;_xlfn.XLOOKUP(B59,B60:B$89,M60:M$89,,0,1),L59*_xlfn.XLOOKUP(B59,B60:B$89,S60:S$89,,0,1)+(-F59-H59)*N59,0),IF(_xlfn.XLOOKUP(B59,B60:B$89,M60:M$89,,0,1)&gt;0,IF(M59&lt;_xlfn.XLOOKUP(B59,B60:B$89,M60:M$89,,0,1),(F59-H59)*N59-_xlfn.XLOOKUP(B59,B60:B$89,S60:S$89,,0,1)*-L59*MAX(1,R59/_xlfn.XLOOKUP(B59,B60:B$89,Q60:Q$89,R59,0,1)),0),0)),0)))</f>
        <v>241.65079999999998</v>
      </c>
      <c r="U59" s="56" cm="1">
        <f t="array" ref="U59">IF(AND(OR(J59="call",J59="put"),T59&lt;&gt;0),1,IF(T59=0,"-",IF(L59&lt;0, _xlfn.LET(_xlpm.v_cant, ABS(L59), _xlpm.v_fecha, I59, _xlpm.v_ticker, B59, _xlpm.rango_f, I60:I$1000, _xlpm.rango_t, L60:L$1000, _xlpm.filtro, B60:B$1000=_xlpm.v_ticker, _xlpm.c_fechas, _xlfn._xlws.FILTER(_xlpm.rango_f, _xlpm.filtro*(_xlpm.rango_t&gt;0), _xlpm.v_fecha), _xlpm.c_cants, _xlfn._xlws.FILTER(_xlpm.rango_t, _xlpm.filtro*(_xlpm.rango_t&gt;0), 0), _xlpm.v_acums_pasadas, ABS(SUMIFS(L60:L$1000, B60:B$1000, _xlpm.v_ticker, L60:L$1000,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59" s="11"/>
    </row>
    <row r="60" spans="1:22" x14ac:dyDescent="0.45">
      <c r="A60" s="3" t="s">
        <v>222</v>
      </c>
      <c r="B60" s="3" t="s">
        <v>345</v>
      </c>
      <c r="D60" s="3">
        <v>1</v>
      </c>
      <c r="E60" s="3">
        <v>0.03</v>
      </c>
      <c r="F60" s="3">
        <v>3</v>
      </c>
      <c r="G60" s="3" t="s">
        <v>344</v>
      </c>
      <c r="I60" s="14">
        <f>IFERROR(DATE(MID(G60, FIND(",", G60)+2, 4), MATCH(LEFT(G60, 3), {"Jan","Feb","Mar","Apr","May","Jun","Jul","Aug","Sep","Oct","Nov","Dec"}, 0), MID(G60, 5, FIND(",", G60)-5)) + VALUE(MID(G60, FIND(":", G60)-2, 8)),I61)</f>
        <v>45905.57576388889</v>
      </c>
      <c r="J60" s="60" t="str" cm="1">
        <f t="array" ref="J60">IF(OR(ISNUMBER(SEARCH("C",B60)),ISNUMBER(SEARCH("P",B60))),IF(ISNUMBER(SEARCH("C",B60)),"Call","Put"),IF(AND(E60&lt;&gt;0,OR(C60="option exercised",C60="option assigned"),A60="buy"),_xlfn._xlws.FILTER(B$2:B$100,(LEFT(B$2:B$100,LEN(B60))=B60)*(LEN(B$2:B$100)&gt;LEN(B60))*(K$2:K$100=E60)*(I$2:I$100=I60)*(C$2:C$100=C60)*((C60="option assigned")*(ISNUMBER(SEARCH("P",B$2:B$100)))+(C60="option exercised")*(ISNUMBER(SEARCH("C",B$2:B$100)))),""),""))</f>
        <v>Put</v>
      </c>
      <c r="K60" s="9">
        <f t="shared" si="1"/>
        <v>6</v>
      </c>
      <c r="L60" s="5">
        <f t="shared" si="2"/>
        <v>-1</v>
      </c>
      <c r="M60" s="5">
        <f>SUMIF(B60:B$88,B60,L60:L$88)</f>
        <v>0</v>
      </c>
      <c r="N60" s="9">
        <v>18.679200000000002</v>
      </c>
      <c r="O60" s="10" cm="1">
        <f t="array" ref="O60">IF(F60=0,_xlfn.XLOOKUP(B60,B61:B$89,O61:O$89,0,0,1),IF(_xlfn.XLOOKUP(B60,B61:B$89,M61:M$89,1,0,1)=0,IF(M60&gt;0,(F60+H60)*N60/M60,(F60-H60)*N60/-M60),IF(M60&gt;0,IF(M60&gt;_xlfn.XLOOKUP(B60,B61:B$89,M61:M$89,0,0,1),(_xlfn.XLOOKUP(B60,B61:B$89,O61:O$89,0,0,1)*_xlfn.XLOOKUP(B60,B61:B$89,M61:M$89,0,0,1)+(F60+H60)*N60+IF(_xlfn.XLOOKUP(J60,B61:B$89,J61:J$89,0,0,1)="put",-_xlfn.XLOOKUP(J60,B61:B$89,O61:O$89,0,0,1)*L60/100,_xlfn.XLOOKUP(J60,B61:B$89,O61:O$89,0,0,1)*L60/100))/M60,_xlfn.XLOOKUP(B60,B61:B$89,O61:O$89,,0,1)),IF(M60&lt;0,IF(M60&lt;_xlfn.XLOOKUP(B60,B61:B$89,M61:M$89,0,0,1),(_xlfn.XLOOKUP(B60,B61:B$89,O61:O$89,0,0,1)*_xlfn.XLOOKUP(B60,B61:B$89,M61:M$89,0,0,1)-(F60-H60)*N60)/M60,_xlfn.XLOOKUP(B60,B61:B$89,O60:O$88,,0,1)),0))))</f>
        <v>0</v>
      </c>
      <c r="P60" s="10" cm="1">
        <f t="array" ref="P60">IF(_xlfn.XLOOKUP(B60,J$2:J60,J$2:J60,0,0,-1)=B60,0,IF(G60="",-H60*N60,IFERROR(IF(_xlfn.XLOOKUP(B60,B61:B$89,M61:M$89,,0,1)&lt;0,IF(M60&gt;_xlfn.XLOOKUP(B60,B61:B$89,M61:M$89,,0,1),L60*_xlfn.XLOOKUP(B60,B61:B$89,O61:O$89,,0,1)+(-F60-H60)*N60,0),IF(_xlfn.XLOOKUP(B60,B61:B$89,M61:M$89,,0,1)&gt;0,IF(M60&lt;_xlfn.XLOOKUP(B60,B61:B$89,M61:M$89,,0,1),(F60-H60)*N60-_xlfn.XLOOKUP(B60,B61:B$89,O61:O$89,,0,1)*-L60,0),0)),0)))</f>
        <v>-557.59739999999999</v>
      </c>
      <c r="Q60" s="56">
        <v>141.197</v>
      </c>
      <c r="R60" s="56">
        <v>140.86699999999999</v>
      </c>
      <c r="S60" s="10" cm="1">
        <f t="array" ref="S60">IF(F60=0,_xlfn.XLOOKUP(B60,B61:B$89,S61:S$89,0,0,1),IF(_xlfn.XLOOKUP(B60,B61:B$89,M61:M$89,1,0,1)=0,IF(M60&gt;0,(F60+H60)*N60/M60,(F60-H60)*N60/-M60),IF(M60&gt;0,IF(M60&gt;_xlfn.XLOOKUP(B60,B61:B$89,M61:M$89,0,0,1),(_xlfn.XLOOKUP(B60,B61:B$89,S61:S$89,0,0,1)*MAX(1,Q60/_xlfn.XLOOKUP(B60,B61:B$89,Q61:Q$89,Q60,0,1))*_xlfn.XLOOKUP(B60,B61:B$89,M61:M$89,0,0,1)+(F60+H60)*N60+IF(_xlfn.XLOOKUP(J60,B61:B$89,J61:J$89,0,0,1)="put",-_xlfn.XLOOKUP(J60,B61:B$89,S61:S$89,0,0,1)*L60/100,_xlfn.XLOOKUP(J60,B61:B$89,S61:S$89,0,0,1)*L60/100))/M60,_xlfn.XLOOKUP(B60,B61:B$89,S61:S$89,,0,1)*MAX(1,Q60/_xlfn.XLOOKUP(B60,B61:B$89,Q61:Q$89,Q60,0,1))),IF(M60&lt;0,IF(M60&lt;_xlfn.XLOOKUP(B60,B61:B$89,M61:M$89,0,0,1),(_xlfn.XLOOKUP(B60,B61:B$89,S61:S$89,0,0,1)*_xlfn.XLOOKUP(B60,B61:B$89,M61:M$89,0,0,1)-(F60-H60)*N60)/M60,_xlfn.XLOOKUP(B60,B61:B$89,S61:S$89,,0,1)),0))))</f>
        <v>0</v>
      </c>
      <c r="T60" s="59" cm="1">
        <f t="array" ref="T60">IF(_xlfn.XLOOKUP(B60,J$2:J60,J$2:J60,0,0,-1)=B60,0,IF(G60="",-H60*N60,IFERROR(IF(_xlfn.XLOOKUP(B60,B61:B$89,M61:M$89,,0,1)&lt;0,IF(M60&gt;_xlfn.XLOOKUP(B60,B61:B$89,M61:M$89,,0,1),L60*_xlfn.XLOOKUP(B60,B61:B$89,S61:S$89,,0,1)+(-F60-H60)*N60,0),IF(_xlfn.XLOOKUP(B60,B61:B$89,M61:M$89,,0,1)&gt;0,IF(M60&lt;_xlfn.XLOOKUP(B60,B61:B$89,M61:M$89,,0,1),(F60-H60)*N60-_xlfn.XLOOKUP(B60,B61:B$89,S61:S$89,,0,1)*-L60*MAX(1,R60/_xlfn.XLOOKUP(B60,B61:B$89,Q61:Q$89,R60,0,1)),0),0)),0)))</f>
        <v>-557.59739999999999</v>
      </c>
      <c r="U60" s="56" cm="1">
        <f t="array" ref="U60">IF(AND(OR(J60="call",J60="put"),T60&lt;&gt;0),1,IF(T60=0,"-",IF(L60&lt;0, _xlfn.LET(_xlpm.v_cant, ABS(L60), _xlpm.v_fecha, I60, _xlpm.v_ticker, B60, _xlpm.rango_f, I61:I$1000, _xlpm.rango_t, L61:L$1000, _xlpm.filtro, B61:B$1000=_xlpm.v_ticker, _xlpm.c_fechas, _xlfn._xlws.FILTER(_xlpm.rango_f, _xlpm.filtro*(_xlpm.rango_t&gt;0), _xlpm.v_fecha), _xlpm.c_cants, _xlfn._xlws.FILTER(_xlpm.rango_t, _xlpm.filtro*(_xlpm.rango_t&gt;0), 0), _xlpm.v_acums_pasadas, ABS(SUMIFS(L61:L$1000, B61:B$1000, _xlpm.v_ticker, L61:L$1000,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0" s="11"/>
    </row>
    <row r="61" spans="1:22" x14ac:dyDescent="0.45">
      <c r="A61" s="3" t="s">
        <v>222</v>
      </c>
      <c r="B61" s="3" t="s">
        <v>346</v>
      </c>
      <c r="D61" s="3">
        <v>1</v>
      </c>
      <c r="E61" s="3">
        <v>0.01</v>
      </c>
      <c r="F61" s="3">
        <v>1</v>
      </c>
      <c r="G61" s="3" t="s">
        <v>344</v>
      </c>
      <c r="I61" s="14">
        <f>IFERROR(DATE(MID(G61, FIND(",", G61)+2, 4), MATCH(LEFT(G61, 3), {"Jan","Feb","Mar","Apr","May","Jun","Jul","Aug","Sep","Oct","Nov","Dec"}, 0), MID(G61, 5, FIND(",", G61)-5)) + VALUE(MID(G61, FIND(":", G61)-2, 8)),I62)</f>
        <v>45905.57576388889</v>
      </c>
      <c r="J61" s="60" t="str" cm="1">
        <f t="array" ref="J61">IF(OR(ISNUMBER(SEARCH("C",B61)),ISNUMBER(SEARCH("P",B61))),IF(ISNUMBER(SEARCH("C",B61)),"Call","Put"),IF(AND(E61&lt;&gt;0,OR(C61="option exercised",C61="option assigned"),A61="buy"),_xlfn._xlws.FILTER(B$2:B$100,(LEFT(B$2:B$100,LEN(B61))=B61)*(LEN(B$2:B$100)&gt;LEN(B61))*(K$2:K$100=E61)*(I$2:I$100=I61)*(C$2:C$100=C61)*((C61="option assigned")*(ISNUMBER(SEARCH("P",B$2:B$100)))+(C61="option exercised")*(ISNUMBER(SEARCH("C",B$2:B$100)))),""),""))</f>
        <v>Call</v>
      </c>
      <c r="K61" s="9">
        <f t="shared" si="1"/>
        <v>6.5</v>
      </c>
      <c r="L61" s="5">
        <f t="shared" si="2"/>
        <v>-1</v>
      </c>
      <c r="M61" s="5">
        <f>SUMIF(B61:B$88,B61,L61:L$88)</f>
        <v>0</v>
      </c>
      <c r="N61" s="9">
        <v>18.679200000000002</v>
      </c>
      <c r="O61" s="10" cm="1">
        <f t="array" ref="O61">IF(F61=0,_xlfn.XLOOKUP(B61,B62:B$89,O62:O$89,0,0,1),IF(_xlfn.XLOOKUP(B61,B62:B$89,M62:M$89,1,0,1)=0,IF(M61&gt;0,(F61+H61)*N61/M61,(F61-H61)*N61/-M61),IF(M61&gt;0,IF(M61&gt;_xlfn.XLOOKUP(B61,B62:B$89,M62:M$89,0,0,1),(_xlfn.XLOOKUP(B61,B62:B$89,O62:O$89,0,0,1)*_xlfn.XLOOKUP(B61,B62:B$89,M62:M$89,0,0,1)+(F61+H61)*N61+IF(_xlfn.XLOOKUP(J61,B62:B$89,J62:J$89,0,0,1)="put",-_xlfn.XLOOKUP(J61,B62:B$89,O62:O$89,0,0,1)*L61/100,_xlfn.XLOOKUP(J61,B62:B$89,O62:O$89,0,0,1)*L61/100))/M61,_xlfn.XLOOKUP(B61,B62:B$89,O62:O$89,,0,1)),IF(M61&lt;0,IF(M61&lt;_xlfn.XLOOKUP(B61,B62:B$89,M62:M$89,0,0,1),(_xlfn.XLOOKUP(B61,B62:B$89,O62:O$89,0,0,1)*_xlfn.XLOOKUP(B61,B62:B$89,M62:M$89,0,0,1)-(F61-H61)*N61)/M61,_xlfn.XLOOKUP(B61,B62:B$89,O61:O$88,,0,1)),0))))</f>
        <v>0</v>
      </c>
      <c r="P61" s="10" cm="1">
        <f t="array" ref="P61">IF(_xlfn.XLOOKUP(B61,J$2:J61,J$2:J61,0,0,-1)=B61,0,IF(G61="",-H61*N61,IFERROR(IF(_xlfn.XLOOKUP(B61,B62:B$89,M62:M$89,,0,1)&lt;0,IF(M61&gt;_xlfn.XLOOKUP(B61,B62:B$89,M62:M$89,,0,1),L61*_xlfn.XLOOKUP(B61,B62:B$89,O62:O$89,,0,1)+(-F61-H61)*N61,0),IF(_xlfn.XLOOKUP(B61,B62:B$89,M62:M$89,,0,1)&gt;0,IF(M61&lt;_xlfn.XLOOKUP(B61,B62:B$89,M62:M$89,,0,1),(F61-H61)*N61-_xlfn.XLOOKUP(B61,B62:B$89,O62:O$89,,0,1)*-L61,0),0)),0)))</f>
        <v>-911.07079999999996</v>
      </c>
      <c r="Q61" s="56">
        <v>141.197</v>
      </c>
      <c r="R61" s="56">
        <v>140.86699999999999</v>
      </c>
      <c r="S61" s="10" cm="1">
        <f t="array" ref="S61">IF(F61=0,_xlfn.XLOOKUP(B61,B62:B$89,S62:S$89,0,0,1),IF(_xlfn.XLOOKUP(B61,B62:B$89,M62:M$89,1,0,1)=0,IF(M61&gt;0,(F61+H61)*N61/M61,(F61-H61)*N61/-M61),IF(M61&gt;0,IF(M61&gt;_xlfn.XLOOKUP(B61,B62:B$89,M62:M$89,0,0,1),(_xlfn.XLOOKUP(B61,B62:B$89,S62:S$89,0,0,1)*MAX(1,Q61/_xlfn.XLOOKUP(B61,B62:B$89,Q62:Q$89,Q61,0,1))*_xlfn.XLOOKUP(B61,B62:B$89,M62:M$89,0,0,1)+(F61+H61)*N61+IF(_xlfn.XLOOKUP(J61,B62:B$89,J62:J$89,0,0,1)="put",-_xlfn.XLOOKUP(J61,B62:B$89,S62:S$89,0,0,1)*L61/100,_xlfn.XLOOKUP(J61,B62:B$89,S62:S$89,0,0,1)*L61/100))/M61,_xlfn.XLOOKUP(B61,B62:B$89,S62:S$89,,0,1)*MAX(1,Q61/_xlfn.XLOOKUP(B61,B62:B$89,Q62:Q$89,Q61,0,1))),IF(M61&lt;0,IF(M61&lt;_xlfn.XLOOKUP(B61,B62:B$89,M62:M$89,0,0,1),(_xlfn.XLOOKUP(B61,B62:B$89,S62:S$89,0,0,1)*_xlfn.XLOOKUP(B61,B62:B$89,M62:M$89,0,0,1)-(F61-H61)*N61)/M61,_xlfn.XLOOKUP(B61,B62:B$89,S62:S$89,,0,1)),0))))</f>
        <v>0</v>
      </c>
      <c r="T61" s="59" cm="1">
        <f t="array" ref="T61">IF(_xlfn.XLOOKUP(B61,J$2:J61,J$2:J61,0,0,-1)=B61,0,IF(G61="",-H61*N61,IFERROR(IF(_xlfn.XLOOKUP(B61,B62:B$89,M62:M$89,,0,1)&lt;0,IF(M61&gt;_xlfn.XLOOKUP(B61,B62:B$89,M62:M$89,,0,1),L61*_xlfn.XLOOKUP(B61,B62:B$89,S62:S$89,,0,1)+(-F61-H61)*N61,0),IF(_xlfn.XLOOKUP(B61,B62:B$89,M62:M$89,,0,1)&gt;0,IF(M61&lt;_xlfn.XLOOKUP(B61,B62:B$89,M62:M$89,,0,1),(F61-H61)*N61-_xlfn.XLOOKUP(B61,B62:B$89,S62:S$89,,0,1)*-L61*MAX(1,R61/_xlfn.XLOOKUP(B61,B62:B$89,Q62:Q$89,R61,0,1)),0),0)),0)))</f>
        <v>-911.07079999999996</v>
      </c>
      <c r="U61" s="56" cm="1">
        <f t="array" ref="U61">IF(AND(OR(J61="call",J61="put"),T61&lt;&gt;0),1,IF(T61=0,"-",IF(L61&lt;0, _xlfn.LET(_xlpm.v_cant, ABS(L61), _xlpm.v_fecha, I61, _xlpm.v_ticker, B61, _xlpm.rango_f, I62:I$1000, _xlpm.rango_t, L62:L$1000, _xlpm.filtro, B62:B$1000=_xlpm.v_ticker, _xlpm.c_fechas, _xlfn._xlws.FILTER(_xlpm.rango_f, _xlpm.filtro*(_xlpm.rango_t&gt;0), _xlpm.v_fecha), _xlpm.c_cants, _xlfn._xlws.FILTER(_xlpm.rango_t, _xlpm.filtro*(_xlpm.rango_t&gt;0), 0), _xlpm.v_acums_pasadas, ABS(SUMIFS(L62:L$1000, B62:B$1000, _xlpm.v_ticker, L62:L$1000,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1" s="11"/>
    </row>
    <row r="62" spans="1:22" x14ac:dyDescent="0.45">
      <c r="A62" s="3" t="s">
        <v>224</v>
      </c>
      <c r="B62" s="3" t="s">
        <v>347</v>
      </c>
      <c r="D62" s="3">
        <v>1</v>
      </c>
      <c r="E62" s="3">
        <v>0.01</v>
      </c>
      <c r="F62" s="3">
        <v>1</v>
      </c>
      <c r="G62" s="3" t="s">
        <v>344</v>
      </c>
      <c r="I62" s="14">
        <f>IFERROR(DATE(MID(G62, FIND(",", G62)+2, 4), MATCH(LEFT(G62, 3), {"Jan","Feb","Mar","Apr","May","Jun","Jul","Aug","Sep","Oct","Nov","Dec"}, 0), MID(G62, 5, FIND(",", G62)-5)) + VALUE(MID(G62, FIND(":", G62)-2, 8)),I63)</f>
        <v>45905.57576388889</v>
      </c>
      <c r="J62" s="60" t="str" cm="1">
        <f t="array" ref="J62">IF(OR(ISNUMBER(SEARCH("C",B62)),ISNUMBER(SEARCH("P",B62))),IF(ISNUMBER(SEARCH("C",B62)),"Call","Put"),IF(AND(E62&lt;&gt;0,OR(C62="option exercised",C62="option assigned"),A62="buy"),_xlfn._xlws.FILTER(B$2:B$100,(LEFT(B$2:B$100,LEN(B62))=B62)*(LEN(B$2:B$100)&gt;LEN(B62))*(K$2:K$100=E62)*(I$2:I$100=I62)*(C$2:C$100=C62)*((C62="option assigned")*(ISNUMBER(SEARCH("P",B$2:B$100)))+(C62="option exercised")*(ISNUMBER(SEARCH("C",B$2:B$100)))),""),""))</f>
        <v>Call</v>
      </c>
      <c r="K62" s="9">
        <f t="shared" si="1"/>
        <v>7</v>
      </c>
      <c r="L62" s="5">
        <f t="shared" si="2"/>
        <v>1</v>
      </c>
      <c r="M62" s="5">
        <f>SUMIF(B62:B$88,B62,L62:L$88)</f>
        <v>0</v>
      </c>
      <c r="N62" s="9">
        <v>18.679200000000002</v>
      </c>
      <c r="O62" s="10" cm="1">
        <f t="array" ref="O62">IF(F62=0,_xlfn.XLOOKUP(B62,B63:B$89,O63:O$89,0,0,1),IF(_xlfn.XLOOKUP(B62,B63:B$89,M63:M$89,1,0,1)=0,IF(M62&gt;0,(F62+H62)*N62/M62,(F62-H62)*N62/-M62),IF(M62&gt;0,IF(M62&gt;_xlfn.XLOOKUP(B62,B63:B$89,M63:M$89,0,0,1),(_xlfn.XLOOKUP(B62,B63:B$89,O63:O$89,0,0,1)*_xlfn.XLOOKUP(B62,B63:B$89,M63:M$89,0,0,1)+(F62+H62)*N62+IF(_xlfn.XLOOKUP(J62,B63:B$89,J63:J$89,0,0,1)="put",-_xlfn.XLOOKUP(J62,B63:B$89,O63:O$89,0,0,1)*L62/100,_xlfn.XLOOKUP(J62,B63:B$89,O63:O$89,0,0,1)*L62/100))/M62,_xlfn.XLOOKUP(B62,B63:B$89,O63:O$89,,0,1)),IF(M62&lt;0,IF(M62&lt;_xlfn.XLOOKUP(B62,B63:B$89,M63:M$89,0,0,1),(_xlfn.XLOOKUP(B62,B63:B$89,O63:O$89,0,0,1)*_xlfn.XLOOKUP(B62,B63:B$89,M63:M$89,0,0,1)-(F62-H62)*N62)/M62,_xlfn.XLOOKUP(B62,B63:B$89,O62:O$88,,0,1)),0))))</f>
        <v>0</v>
      </c>
      <c r="P62" s="10" cm="1">
        <f t="array" ref="P62">IF(_xlfn.XLOOKUP(B62,J$2:J62,J$2:J62,0,0,-1)=B62,0,IF(G62="",-H62*N62,IFERROR(IF(_xlfn.XLOOKUP(B62,B63:B$89,M63:M$89,,0,1)&lt;0,IF(M62&gt;_xlfn.XLOOKUP(B62,B63:B$89,M63:M$89,,0,1),L62*_xlfn.XLOOKUP(B62,B63:B$89,O63:O$89,,0,1)+(-F62-H62)*N62,0),IF(_xlfn.XLOOKUP(B62,B63:B$89,M63:M$89,,0,1)&gt;0,IF(M62&lt;_xlfn.XLOOKUP(B62,B63:B$89,M63:M$89,,0,1),(F62-H62)*N62-_xlfn.XLOOKUP(B62,B63:B$89,O63:O$89,,0,1)*-L62,0),0)),0)))</f>
        <v>613.55079999999998</v>
      </c>
      <c r="Q62" s="56">
        <v>141.197</v>
      </c>
      <c r="R62" s="56">
        <v>140.86699999999999</v>
      </c>
      <c r="S62" s="10" cm="1">
        <f t="array" ref="S62">IF(F62=0,_xlfn.XLOOKUP(B62,B63:B$89,S63:S$89,0,0,1),IF(_xlfn.XLOOKUP(B62,B63:B$89,M63:M$89,1,0,1)=0,IF(M62&gt;0,(F62+H62)*N62/M62,(F62-H62)*N62/-M62),IF(M62&gt;0,IF(M62&gt;_xlfn.XLOOKUP(B62,B63:B$89,M63:M$89,0,0,1),(_xlfn.XLOOKUP(B62,B63:B$89,S63:S$89,0,0,1)*MAX(1,Q62/_xlfn.XLOOKUP(B62,B63:B$89,Q63:Q$89,Q62,0,1))*_xlfn.XLOOKUP(B62,B63:B$89,M63:M$89,0,0,1)+(F62+H62)*N62+IF(_xlfn.XLOOKUP(J62,B63:B$89,J63:J$89,0,0,1)="put",-_xlfn.XLOOKUP(J62,B63:B$89,S63:S$89,0,0,1)*L62/100,_xlfn.XLOOKUP(J62,B63:B$89,S63:S$89,0,0,1)*L62/100))/M62,_xlfn.XLOOKUP(B62,B63:B$89,S63:S$89,,0,1)*MAX(1,Q62/_xlfn.XLOOKUP(B62,B63:B$89,Q63:Q$89,Q62,0,1))),IF(M62&lt;0,IF(M62&lt;_xlfn.XLOOKUP(B62,B63:B$89,M63:M$89,0,0,1),(_xlfn.XLOOKUP(B62,B63:B$89,S63:S$89,0,0,1)*_xlfn.XLOOKUP(B62,B63:B$89,M63:M$89,0,0,1)-(F62-H62)*N62)/M62,_xlfn.XLOOKUP(B62,B63:B$89,S63:S$89,,0,1)),0))))</f>
        <v>0</v>
      </c>
      <c r="T62" s="59" cm="1">
        <f t="array" ref="T62">IF(_xlfn.XLOOKUP(B62,J$2:J62,J$2:J62,0,0,-1)=B62,0,IF(G62="",-H62*N62,IFERROR(IF(_xlfn.XLOOKUP(B62,B63:B$89,M63:M$89,,0,1)&lt;0,IF(M62&gt;_xlfn.XLOOKUP(B62,B63:B$89,M63:M$89,,0,1),L62*_xlfn.XLOOKUP(B62,B63:B$89,S63:S$89,,0,1)+(-F62-H62)*N62,0),IF(_xlfn.XLOOKUP(B62,B63:B$89,M63:M$89,,0,1)&gt;0,IF(M62&lt;_xlfn.XLOOKUP(B62,B63:B$89,M63:M$89,,0,1),(F62-H62)*N62-_xlfn.XLOOKUP(B62,B63:B$89,S63:S$89,,0,1)*-L62*MAX(1,R62/_xlfn.XLOOKUP(B62,B63:B$89,Q63:Q$89,R62,0,1)),0),0)),0)))</f>
        <v>613.55079999999998</v>
      </c>
      <c r="U62" s="56" cm="1">
        <f t="array" ref="U62">IF(AND(OR(J62="call",J62="put"),T62&lt;&gt;0),1,IF(T62=0,"-",IF(L62&lt;0, _xlfn.LET(_xlpm.v_cant, ABS(L62), _xlpm.v_fecha, I62, _xlpm.v_ticker, B62, _xlpm.rango_f, I63:I$1000, _xlpm.rango_t, L63:L$1000, _xlpm.filtro, B63:B$1000=_xlpm.v_ticker, _xlpm.c_fechas, _xlfn._xlws.FILTER(_xlpm.rango_f, _xlpm.filtro*(_xlpm.rango_t&gt;0), _xlpm.v_fecha), _xlpm.c_cants, _xlfn._xlws.FILTER(_xlpm.rango_t, _xlpm.filtro*(_xlpm.rango_t&gt;0), 0), _xlpm.v_acums_pasadas, ABS(SUMIFS(L63:L$1000, B63:B$1000, _xlpm.v_ticker, L63:L$1000,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2" s="11"/>
    </row>
    <row r="63" spans="1:22" x14ac:dyDescent="0.45">
      <c r="A63" s="3" t="s">
        <v>222</v>
      </c>
      <c r="B63" s="3" t="s">
        <v>348</v>
      </c>
      <c r="H63" s="3">
        <v>11.98</v>
      </c>
      <c r="I63" s="14">
        <f>IFERROR(DATE(MID(G63, FIND(",", G63)+2, 4), MATCH(LEFT(G63, 3), {"Jan","Feb","Mar","Apr","May","Jun","Jul","Aug","Sep","Oct","Nov","Dec"}, 0), MID(G63, 5, FIND(",", G63)-5)) + VALUE(MID(G63, FIND(":", G63)-2, 8)),I64)</f>
        <v>45904.663391203707</v>
      </c>
      <c r="J63" s="60" t="str" cm="1">
        <f t="array" ref="J63">IF(OR(ISNUMBER(SEARCH("C",B63)),ISNUMBER(SEARCH("P",B63))),IF(ISNUMBER(SEARCH("C",B63)),"Call","Put"),IF(AND(E63&lt;&gt;0,OR(C63="option exercised",C63="option assigned"),A63="buy"),_xlfn._xlws.FILTER(B$2:B$100,(LEFT(B$2:B$100,LEN(B63))=B63)*(LEN(B$2:B$100)&gt;LEN(B63))*(K$2:K$100=E63)*(I$2:I$100=I63)*(C$2:C$100=C63)*((C63="option assigned")*(ISNUMBER(SEARCH("P",B$2:B$100)))+(C63="option exercised")*(ISNUMBER(SEARCH("C",B$2:B$100)))),""),""))</f>
        <v>Call</v>
      </c>
      <c r="K63" s="9">
        <f t="shared" si="1"/>
        <v>46.183999999999997</v>
      </c>
      <c r="L63" s="5">
        <f t="shared" si="2"/>
        <v>0</v>
      </c>
      <c r="M63" s="5">
        <f>SUMIF(B63:B$88,B63,L63:L$88)</f>
        <v>0</v>
      </c>
      <c r="N63" s="9">
        <v>18.7577</v>
      </c>
      <c r="O63" s="10" cm="1">
        <f t="array" ref="O63">IF(F63=0,_xlfn.XLOOKUP(B63,B64:B$89,O64:O$89,0,0,1),IF(_xlfn.XLOOKUP(B63,B64:B$89,M64:M$89,1,0,1)=0,IF(M63&gt;0,(F63+H63)*N63/M63,(F63-H63)*N63/-M63),IF(M63&gt;0,IF(M63&gt;_xlfn.XLOOKUP(B63,B64:B$89,M64:M$89,0,0,1),(_xlfn.XLOOKUP(B63,B64:B$89,O64:O$89,0,0,1)*_xlfn.XLOOKUP(B63,B64:B$89,M64:M$89,0,0,1)+(F63+H63)*N63+IF(_xlfn.XLOOKUP(J63,B64:B$89,J64:J$89,0,0,1)="put",-_xlfn.XLOOKUP(J63,B64:B$89,O64:O$89,0,0,1)*L63/100,_xlfn.XLOOKUP(J63,B64:B$89,O64:O$89,0,0,1)*L63/100))/M63,_xlfn.XLOOKUP(B63,B64:B$89,O64:O$89,,0,1)),IF(M63&lt;0,IF(M63&lt;_xlfn.XLOOKUP(B63,B64:B$89,M64:M$89,0,0,1),(_xlfn.XLOOKUP(B63,B64:B$89,O64:O$89,0,0,1)*_xlfn.XLOOKUP(B63,B64:B$89,M64:M$89,0,0,1)-(F63-H63)*N63)/M63,_xlfn.XLOOKUP(B63,B64:B$89,O63:O$88,,0,1)),0))))</f>
        <v>0</v>
      </c>
      <c r="P63" s="10" cm="1">
        <f t="array" ref="P63">IF(_xlfn.XLOOKUP(B63,J$2:J63,J$2:J63,0,0,-1)=B63,0,IF(G63="",-H63*N63,IFERROR(IF(_xlfn.XLOOKUP(B63,B64:B$89,M64:M$89,,0,1)&lt;0,IF(M63&gt;_xlfn.XLOOKUP(B63,B64:B$89,M64:M$89,,0,1),L63*_xlfn.XLOOKUP(B63,B64:B$89,O64:O$89,,0,1)+(-F63-H63)*N63,0),IF(_xlfn.XLOOKUP(B63,B64:B$89,M64:M$89,,0,1)&gt;0,IF(M63&lt;_xlfn.XLOOKUP(B63,B64:B$89,M64:M$89,,0,1),(F63-H63)*N63-_xlfn.XLOOKUP(B63,B64:B$89,O64:O$89,,0,1)*-L63,0),0)),0)))</f>
        <v>-224.71724600000002</v>
      </c>
      <c r="Q63" s="56">
        <v>141.197</v>
      </c>
      <c r="R63" s="56">
        <v>140.86699999999999</v>
      </c>
      <c r="S63" s="10" cm="1">
        <f t="array" ref="S63">IF(F63=0,_xlfn.XLOOKUP(B63,B64:B$89,S64:S$89,0,0,1),IF(_xlfn.XLOOKUP(B63,B64:B$89,M64:M$89,1,0,1)=0,IF(M63&gt;0,(F63+H63)*N63/M63,(F63-H63)*N63/-M63),IF(M63&gt;0,IF(M63&gt;_xlfn.XLOOKUP(B63,B64:B$89,M64:M$89,0,0,1),(_xlfn.XLOOKUP(B63,B64:B$89,S64:S$89,0,0,1)*MAX(1,Q63/_xlfn.XLOOKUP(B63,B64:B$89,Q64:Q$89,Q63,0,1))*_xlfn.XLOOKUP(B63,B64:B$89,M64:M$89,0,0,1)+(F63+H63)*N63+IF(_xlfn.XLOOKUP(J63,B64:B$89,J64:J$89,0,0,1)="put",-_xlfn.XLOOKUP(J63,B64:B$89,S64:S$89,0,0,1)*L63/100,_xlfn.XLOOKUP(J63,B64:B$89,S64:S$89,0,0,1)*L63/100))/M63,_xlfn.XLOOKUP(B63,B64:B$89,S64:S$89,,0,1)*MAX(1,Q63/_xlfn.XLOOKUP(B63,B64:B$89,Q64:Q$89,Q63,0,1))),IF(M63&lt;0,IF(M63&lt;_xlfn.XLOOKUP(B63,B64:B$89,M64:M$89,0,0,1),(_xlfn.XLOOKUP(B63,B64:B$89,S64:S$89,0,0,1)*_xlfn.XLOOKUP(B63,B64:B$89,M64:M$89,0,0,1)-(F63-H63)*N63)/M63,_xlfn.XLOOKUP(B63,B64:B$89,S64:S$89,,0,1)),0))))</f>
        <v>0</v>
      </c>
      <c r="T63" s="59" cm="1">
        <f t="array" ref="T63">IF(_xlfn.XLOOKUP(B63,J$2:J63,J$2:J63,0,0,-1)=B63,0,IF(G63="",-H63*N63,IFERROR(IF(_xlfn.XLOOKUP(B63,B64:B$89,M64:M$89,,0,1)&lt;0,IF(M63&gt;_xlfn.XLOOKUP(B63,B64:B$89,M64:M$89,,0,1),L63*_xlfn.XLOOKUP(B63,B64:B$89,S64:S$89,,0,1)+(-F63-H63)*N63,0),IF(_xlfn.XLOOKUP(B63,B64:B$89,M64:M$89,,0,1)&gt;0,IF(M63&lt;_xlfn.XLOOKUP(B63,B64:B$89,M64:M$89,,0,1),(F63-H63)*N63-_xlfn.XLOOKUP(B63,B64:B$89,S64:S$89,,0,1)*-L63*MAX(1,R63/_xlfn.XLOOKUP(B63,B64:B$89,Q64:Q$89,R63,0,1)),0),0)),0)))</f>
        <v>-224.71724600000002</v>
      </c>
      <c r="U63" s="56" cm="1">
        <f t="array" ref="U63">IF(AND(OR(J63="call",J63="put"),T63&lt;&gt;0),1,IF(T63=0,"-",IF(L63&lt;0, _xlfn.LET(_xlpm.v_cant, ABS(L63), _xlpm.v_fecha, I63, _xlpm.v_ticker, B63, _xlpm.rango_f, I64:I$1000, _xlpm.rango_t, L64:L$1000, _xlpm.filtro, B64:B$1000=_xlpm.v_ticker, _xlpm.c_fechas, _xlfn._xlws.FILTER(_xlpm.rango_f, _xlpm.filtro*(_xlpm.rango_t&gt;0), _xlpm.v_fecha), _xlpm.c_cants, _xlfn._xlws.FILTER(_xlpm.rango_t, _xlpm.filtro*(_xlpm.rango_t&gt;0), 0), _xlpm.v_acums_pasadas, ABS(SUMIFS(L64:L$1000, B64:B$1000, _xlpm.v_ticker, L64:L$1000,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3" s="11"/>
    </row>
    <row r="64" spans="1:22" x14ac:dyDescent="0.45">
      <c r="A64" s="3" t="s">
        <v>224</v>
      </c>
      <c r="B64" s="3" t="s">
        <v>327</v>
      </c>
      <c r="D64" s="3">
        <v>1</v>
      </c>
      <c r="E64" s="3">
        <v>0.17</v>
      </c>
      <c r="F64" s="3">
        <v>17</v>
      </c>
      <c r="G64" s="3" t="s">
        <v>349</v>
      </c>
      <c r="I64" s="14">
        <f>IFERROR(DATE(MID(G64, FIND(",", G64)+2, 4), MATCH(LEFT(G64, 3), {"Jan","Feb","Mar","Apr","May","Jun","Jul","Aug","Sep","Oct","Nov","Dec"}, 0), MID(G64, 5, FIND(",", G64)-5)) + VALUE(MID(G64, FIND(":", G64)-2, 8)),I65)</f>
        <v>45904.663391203707</v>
      </c>
      <c r="J64" s="60" t="str" cm="1">
        <f t="array" ref="J64">IF(OR(ISNUMBER(SEARCH("C",B64)),ISNUMBER(SEARCH("P",B64))),IF(ISNUMBER(SEARCH("C",B64)),"Call","Put"),IF(AND(E64&lt;&gt;0,OR(C64="option exercised",C64="option assigned"),A64="buy"),_xlfn._xlws.FILTER(B$2:B$100,(LEFT(B$2:B$100,LEN(B64))=B64)*(LEN(B$2:B$100)&gt;LEN(B64))*(K$2:K$100=E64)*(I$2:I$100=I64)*(C$2:C$100=C64)*((C64="option assigned")*(ISNUMBER(SEARCH("P",B$2:B$100)))+(C64="option exercised")*(ISNUMBER(SEARCH("C",B$2:B$100)))),""),""))</f>
        <v>Put</v>
      </c>
      <c r="K64" s="9">
        <f t="shared" si="1"/>
        <v>1</v>
      </c>
      <c r="L64" s="5">
        <f t="shared" si="2"/>
        <v>1</v>
      </c>
      <c r="M64" s="5">
        <f>SUMIF(B64:B$88,B64,L64:L$88)</f>
        <v>1</v>
      </c>
      <c r="N64" s="9">
        <v>18.7577</v>
      </c>
      <c r="O64" s="10" cm="1">
        <f t="array" ref="O64">IF(F64=0,_xlfn.XLOOKUP(B64,B65:B$89,O65:O$89,0,0,1),IF(_xlfn.XLOOKUP(B64,B65:B$89,M65:M$89,1,0,1)=0,IF(M64&gt;0,(F64+H64)*N64/M64,(F64-H64)*N64/-M64),IF(M64&gt;0,IF(M64&gt;_xlfn.XLOOKUP(B64,B65:B$89,M65:M$89,0,0,1),(_xlfn.XLOOKUP(B64,B65:B$89,O65:O$89,0,0,1)*_xlfn.XLOOKUP(B64,B65:B$89,M65:M$89,0,0,1)+(F64+H64)*N64+IF(_xlfn.XLOOKUP(J64,B65:B$89,J65:J$89,0,0,1)="put",-_xlfn.XLOOKUP(J64,B65:B$89,O65:O$89,0,0,1)*L64/100,_xlfn.XLOOKUP(J64,B65:B$89,O65:O$89,0,0,1)*L64/100))/M64,_xlfn.XLOOKUP(B64,B65:B$89,O65:O$89,,0,1)),IF(M64&lt;0,IF(M64&lt;_xlfn.XLOOKUP(B64,B65:B$89,M65:M$89,0,0,1),(_xlfn.XLOOKUP(B64,B65:B$89,O65:O$89,0,0,1)*_xlfn.XLOOKUP(B64,B65:B$89,M65:M$89,0,0,1)-(F64-H64)*N64)/M64,_xlfn.XLOOKUP(B64,B65:B$89,O64:O$88,,0,1)),0))))</f>
        <v>318.8809</v>
      </c>
      <c r="P64" s="10" cm="1">
        <f t="array" ref="P64">IF(_xlfn.XLOOKUP(B64,J$2:J64,J$2:J64,0,0,-1)=B64,0,IF(G64="",-H64*N64,IFERROR(IF(_xlfn.XLOOKUP(B64,B65:B$89,M65:M$89,,0,1)&lt;0,IF(M64&gt;_xlfn.XLOOKUP(B64,B65:B$89,M65:M$89,,0,1),L64*_xlfn.XLOOKUP(B64,B65:B$89,O65:O$89,,0,1)+(-F64-H64)*N64,0),IF(_xlfn.XLOOKUP(B64,B65:B$89,M65:M$89,,0,1)&gt;0,IF(M64&lt;_xlfn.XLOOKUP(B64,B65:B$89,M65:M$89,,0,1),(F64-H64)*N64-_xlfn.XLOOKUP(B64,B65:B$89,O65:O$89,,0,1)*-L64,0),0)),0)))</f>
        <v>0</v>
      </c>
      <c r="Q64" s="56">
        <v>141.197</v>
      </c>
      <c r="R64" s="56">
        <v>140.86699999999999</v>
      </c>
      <c r="S64" s="10" cm="1">
        <f t="array" ref="S64">IF(F64=0,_xlfn.XLOOKUP(B64,B65:B$89,S65:S$89,0,0,1),IF(_xlfn.XLOOKUP(B64,B65:B$89,M65:M$89,1,0,1)=0,IF(M64&gt;0,(F64+H64)*N64/M64,(F64-H64)*N64/-M64),IF(M64&gt;0,IF(M64&gt;_xlfn.XLOOKUP(B64,B65:B$89,M65:M$89,0,0,1),(_xlfn.XLOOKUP(B64,B65:B$89,S65:S$89,0,0,1)*MAX(1,Q64/_xlfn.XLOOKUP(B64,B65:B$89,Q65:Q$89,Q64,0,1))*_xlfn.XLOOKUP(B64,B65:B$89,M65:M$89,0,0,1)+(F64+H64)*N64+IF(_xlfn.XLOOKUP(J64,B65:B$89,J65:J$89,0,0,1)="put",-_xlfn.XLOOKUP(J64,B65:B$89,S65:S$89,0,0,1)*L64/100,_xlfn.XLOOKUP(J64,B65:B$89,S65:S$89,0,0,1)*L64/100))/M64,_xlfn.XLOOKUP(B64,B65:B$89,S65:S$89,,0,1)*MAX(1,Q64/_xlfn.XLOOKUP(B64,B65:B$89,Q65:Q$89,Q64,0,1))),IF(M64&lt;0,IF(M64&lt;_xlfn.XLOOKUP(B64,B65:B$89,M65:M$89,0,0,1),(_xlfn.XLOOKUP(B64,B65:B$89,S65:S$89,0,0,1)*_xlfn.XLOOKUP(B64,B65:B$89,M65:M$89,0,0,1)-(F64-H64)*N64)/M64,_xlfn.XLOOKUP(B64,B65:B$89,S65:S$89,,0,1)),0))))</f>
        <v>318.8809</v>
      </c>
      <c r="T64" s="59" cm="1">
        <f t="array" ref="T64">IF(_xlfn.XLOOKUP(B64,J$2:J64,J$2:J64,0,0,-1)=B64,0,IF(G64="",-H64*N64,IFERROR(IF(_xlfn.XLOOKUP(B64,B65:B$89,M65:M$89,,0,1)&lt;0,IF(M64&gt;_xlfn.XLOOKUP(B64,B65:B$89,M65:M$89,,0,1),L64*_xlfn.XLOOKUP(B64,B65:B$89,S65:S$89,,0,1)+(-F64-H64)*N64,0),IF(_xlfn.XLOOKUP(B64,B65:B$89,M65:M$89,,0,1)&gt;0,IF(M64&lt;_xlfn.XLOOKUP(B64,B65:B$89,M65:M$89,,0,1),(F64-H64)*N64-_xlfn.XLOOKUP(B64,B65:B$89,S65:S$89,,0,1)*-L64*MAX(1,R64/_xlfn.XLOOKUP(B64,B65:B$89,Q65:Q$89,R64,0,1)),0),0)),0)))</f>
        <v>0</v>
      </c>
      <c r="U64" s="56" t="str" cm="1">
        <f t="array" ref="U64">IF(AND(OR(J64="call",J64="put"),T64&lt;&gt;0),1,IF(T64=0,"-",IF(L64&lt;0, _xlfn.LET(_xlpm.v_cant, ABS(L64), _xlpm.v_fecha, I64, _xlpm.v_ticker, B64, _xlpm.rango_f, I65:I$1000, _xlpm.rango_t, L65:L$1000, _xlpm.filtro, B65:B$1000=_xlpm.v_ticker, _xlpm.c_fechas, _xlfn._xlws.FILTER(_xlpm.rango_f, _xlpm.filtro*(_xlpm.rango_t&gt;0), _xlpm.v_fecha), _xlpm.c_cants, _xlfn._xlws.FILTER(_xlpm.rango_t, _xlpm.filtro*(_xlpm.rango_t&gt;0), 0), _xlpm.v_acums_pasadas, ABS(SUMIFS(L65:L$1000, B65:B$1000, _xlpm.v_ticker, L65:L$1000,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64" s="11"/>
    </row>
    <row r="65" spans="1:22" x14ac:dyDescent="0.45">
      <c r="A65" s="3" t="s">
        <v>222</v>
      </c>
      <c r="B65" s="3" t="s">
        <v>332</v>
      </c>
      <c r="D65" s="3">
        <v>1</v>
      </c>
      <c r="E65" s="3">
        <v>3.6</v>
      </c>
      <c r="F65" s="3">
        <v>360</v>
      </c>
      <c r="G65" s="3" t="s">
        <v>349</v>
      </c>
      <c r="I65" s="14">
        <f>IFERROR(DATE(MID(G65, FIND(",", G65)+2, 4), MATCH(LEFT(G65, 3), {"Jan","Feb","Mar","Apr","May","Jun","Jul","Aug","Sep","Oct","Nov","Dec"}, 0), MID(G65, 5, FIND(",", G65)-5)) + VALUE(MID(G65, FIND(":", G65)-2, 8)),I66)</f>
        <v>45904.663391203707</v>
      </c>
      <c r="J65" s="60" t="str" cm="1">
        <f t="array" ref="J65">IF(OR(ISNUMBER(SEARCH("C",B65)),ISNUMBER(SEARCH("P",B65))),IF(ISNUMBER(SEARCH("C",B65)),"Call","Put"),IF(AND(E65&lt;&gt;0,OR(C65="option exercised",C65="option assigned"),A65="buy"),_xlfn._xlws.FILTER(B$2:B$100,(LEFT(B$2:B$100,LEN(B65))=B65)*(LEN(B$2:B$100)&gt;LEN(B65))*(K$2:K$100=E65)*(I$2:I$100=I65)*(C$2:C$100=C65)*((C65="option assigned")*(ISNUMBER(SEARCH("P",B$2:B$100)))+(C65="option exercised")*(ISNUMBER(SEARCH("C",B$2:B$100)))),""),""))</f>
        <v>Put</v>
      </c>
      <c r="K65" s="9">
        <f t="shared" si="1"/>
        <v>6</v>
      </c>
      <c r="L65" s="5">
        <f t="shared" si="2"/>
        <v>-1</v>
      </c>
      <c r="M65" s="5">
        <f>SUMIF(B65:B$88,B65,L65:L$88)</f>
        <v>-1</v>
      </c>
      <c r="N65" s="9">
        <v>18.7577</v>
      </c>
      <c r="O65" s="10" cm="1">
        <f t="array" ref="O65">IF(F65=0,_xlfn.XLOOKUP(B65,B66:B$89,O66:O$89,0,0,1),IF(_xlfn.XLOOKUP(B65,B66:B$89,M66:M$89,1,0,1)=0,IF(M65&gt;0,(F65+H65)*N65/M65,(F65-H65)*N65/-M65),IF(M65&gt;0,IF(M65&gt;_xlfn.XLOOKUP(B65,B66:B$89,M66:M$89,0,0,1),(_xlfn.XLOOKUP(B65,B66:B$89,O66:O$89,0,0,1)*_xlfn.XLOOKUP(B65,B66:B$89,M66:M$89,0,0,1)+(F65+H65)*N65+IF(_xlfn.XLOOKUP(J65,B66:B$89,J66:J$89,0,0,1)="put",-_xlfn.XLOOKUP(J65,B66:B$89,O66:O$89,0,0,1)*L65/100,_xlfn.XLOOKUP(J65,B66:B$89,O66:O$89,0,0,1)*L65/100))/M65,_xlfn.XLOOKUP(B65,B66:B$89,O66:O$89,,0,1)),IF(M65&lt;0,IF(M65&lt;_xlfn.XLOOKUP(B65,B66:B$89,M66:M$89,0,0,1),(_xlfn.XLOOKUP(B65,B66:B$89,O66:O$89,0,0,1)*_xlfn.XLOOKUP(B65,B66:B$89,M66:M$89,0,0,1)-(F65-H65)*N65)/M65,_xlfn.XLOOKUP(B65,B66:B$89,O65:O$88,,0,1)),0))))</f>
        <v>6752.7719999999999</v>
      </c>
      <c r="P65" s="10" cm="1">
        <f t="array" ref="P65">IF(_xlfn.XLOOKUP(B65,J$2:J65,J$2:J65,0,0,-1)=B65,0,IF(G65="",-H65*N65,IFERROR(IF(_xlfn.XLOOKUP(B65,B66:B$89,M66:M$89,,0,1)&lt;0,IF(M65&gt;_xlfn.XLOOKUP(B65,B66:B$89,M66:M$89,,0,1),L65*_xlfn.XLOOKUP(B65,B66:B$89,O66:O$89,,0,1)+(-F65-H65)*N65,0),IF(_xlfn.XLOOKUP(B65,B66:B$89,M66:M$89,,0,1)&gt;0,IF(M65&lt;_xlfn.XLOOKUP(B65,B66:B$89,M66:M$89,,0,1),(F65-H65)*N65-_xlfn.XLOOKUP(B65,B66:B$89,O66:O$89,,0,1)*-L65,0),0)),0)))</f>
        <v>0</v>
      </c>
      <c r="Q65" s="56">
        <v>141.197</v>
      </c>
      <c r="R65" s="56">
        <v>140.86699999999999</v>
      </c>
      <c r="S65" s="10" cm="1">
        <f t="array" ref="S65">IF(F65=0,_xlfn.XLOOKUP(B65,B66:B$89,S66:S$89,0,0,1),IF(_xlfn.XLOOKUP(B65,B66:B$89,M66:M$89,1,0,1)=0,IF(M65&gt;0,(F65+H65)*N65/M65,(F65-H65)*N65/-M65),IF(M65&gt;0,IF(M65&gt;_xlfn.XLOOKUP(B65,B66:B$89,M66:M$89,0,0,1),(_xlfn.XLOOKUP(B65,B66:B$89,S66:S$89,0,0,1)*MAX(1,Q65/_xlfn.XLOOKUP(B65,B66:B$89,Q66:Q$89,Q65,0,1))*_xlfn.XLOOKUP(B65,B66:B$89,M66:M$89,0,0,1)+(F65+H65)*N65+IF(_xlfn.XLOOKUP(J65,B66:B$89,J66:J$89,0,0,1)="put",-_xlfn.XLOOKUP(J65,B66:B$89,S66:S$89,0,0,1)*L65/100,_xlfn.XLOOKUP(J65,B66:B$89,S66:S$89,0,0,1)*L65/100))/M65,_xlfn.XLOOKUP(B65,B66:B$89,S66:S$89,,0,1)*MAX(1,Q65/_xlfn.XLOOKUP(B65,B66:B$89,Q66:Q$89,Q65,0,1))),IF(M65&lt;0,IF(M65&lt;_xlfn.XLOOKUP(B65,B66:B$89,M66:M$89,0,0,1),(_xlfn.XLOOKUP(B65,B66:B$89,S66:S$89,0,0,1)*_xlfn.XLOOKUP(B65,B66:B$89,M66:M$89,0,0,1)-(F65-H65)*N65)/M65,_xlfn.XLOOKUP(B65,B66:B$89,S66:S$89,,0,1)),0))))</f>
        <v>6752.7719999999999</v>
      </c>
      <c r="T65" s="59" cm="1">
        <f t="array" ref="T65">IF(_xlfn.XLOOKUP(B65,J$2:J65,J$2:J65,0,0,-1)=B65,0,IF(G65="",-H65*N65,IFERROR(IF(_xlfn.XLOOKUP(B65,B66:B$89,M66:M$89,,0,1)&lt;0,IF(M65&gt;_xlfn.XLOOKUP(B65,B66:B$89,M66:M$89,,0,1),L65*_xlfn.XLOOKUP(B65,B66:B$89,S66:S$89,,0,1)+(-F65-H65)*N65,0),IF(_xlfn.XLOOKUP(B65,B66:B$89,M66:M$89,,0,1)&gt;0,IF(M65&lt;_xlfn.XLOOKUP(B65,B66:B$89,M66:M$89,,0,1),(F65-H65)*N65-_xlfn.XLOOKUP(B65,B66:B$89,S66:S$89,,0,1)*-L65*MAX(1,R65/_xlfn.XLOOKUP(B65,B66:B$89,Q66:Q$89,R65,0,1)),0),0)),0)))</f>
        <v>0</v>
      </c>
      <c r="U65" s="56" t="str" cm="1">
        <f t="array" ref="U65">IF(AND(OR(J65="call",J65="put"),T65&lt;&gt;0),1,IF(T65=0,"-",IF(L65&lt;0, _xlfn.LET(_xlpm.v_cant, ABS(L65), _xlpm.v_fecha, I65, _xlpm.v_ticker, B65, _xlpm.rango_f, I66:I$1000, _xlpm.rango_t, L66:L$1000, _xlpm.filtro, B66:B$1000=_xlpm.v_ticker, _xlpm.c_fechas, _xlfn._xlws.FILTER(_xlpm.rango_f, _xlpm.filtro*(_xlpm.rango_t&gt;0), _xlpm.v_fecha), _xlpm.c_cants, _xlfn._xlws.FILTER(_xlpm.rango_t, _xlpm.filtro*(_xlpm.rango_t&gt;0), 0), _xlpm.v_acums_pasadas, ABS(SUMIFS(L66:L$1000, B66:B$1000, _xlpm.v_ticker, L66:L$1000,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65" s="11"/>
    </row>
    <row r="66" spans="1:22" x14ac:dyDescent="0.45">
      <c r="A66" s="3" t="s">
        <v>222</v>
      </c>
      <c r="B66" s="3" t="s">
        <v>304</v>
      </c>
      <c r="D66" s="3">
        <v>1</v>
      </c>
      <c r="E66" s="3">
        <v>3.1</v>
      </c>
      <c r="F66" s="3">
        <v>310</v>
      </c>
      <c r="G66" s="3" t="s">
        <v>349</v>
      </c>
      <c r="I66" s="14">
        <f>IFERROR(DATE(MID(G66, FIND(",", G66)+2, 4), MATCH(LEFT(G66, 3), {"Jan","Feb","Mar","Apr","May","Jun","Jul","Aug","Sep","Oct","Nov","Dec"}, 0), MID(G66, 5, FIND(",", G66)-5)) + VALUE(MID(G66, FIND(":", G66)-2, 8)),I67)</f>
        <v>45904.663391203707</v>
      </c>
      <c r="J66" s="60" t="str" cm="1">
        <f t="array" ref="J66">IF(OR(ISNUMBER(SEARCH("C",B66)),ISNUMBER(SEARCH("P",B66))),IF(ISNUMBER(SEARCH("C",B66)),"Call","Put"),IF(AND(E66&lt;&gt;0,OR(C66="option exercised",C66="option assigned"),A66="buy"),_xlfn._xlws.FILTER(B$2:B$100,(LEFT(B$2:B$100,LEN(B66))=B66)*(LEN(B$2:B$100)&gt;LEN(B66))*(K$2:K$100=E66)*(I$2:I$100=I66)*(C$2:C$100=C66)*((C66="option assigned")*(ISNUMBER(SEARCH("P",B$2:B$100)))+(C66="option exercised")*(ISNUMBER(SEARCH("C",B$2:B$100)))),""),""))</f>
        <v>Call</v>
      </c>
      <c r="K66" s="9">
        <f t="shared" si="1"/>
        <v>6</v>
      </c>
      <c r="L66" s="5">
        <f t="shared" ref="L66:L88" si="3">IF(A66="buy",D66,-D66)</f>
        <v>-1</v>
      </c>
      <c r="M66" s="5">
        <f>SUMIF(B66:B$88,B66,L66:L$88)</f>
        <v>-1</v>
      </c>
      <c r="N66" s="9">
        <v>18.7577</v>
      </c>
      <c r="O66" s="10" cm="1">
        <f t="array" ref="O66">IF(F66=0,_xlfn.XLOOKUP(B66,B67:B$89,O67:O$89,0,0,1),IF(_xlfn.XLOOKUP(B66,B67:B$89,M67:M$89,1,0,1)=0,IF(M66&gt;0,(F66+H66)*N66/M66,(F66-H66)*N66/-M66),IF(M66&gt;0,IF(M66&gt;_xlfn.XLOOKUP(B66,B67:B$89,M67:M$89,0,0,1),(_xlfn.XLOOKUP(B66,B67:B$89,O67:O$89,0,0,1)*_xlfn.XLOOKUP(B66,B67:B$89,M67:M$89,0,0,1)+(F66+H66)*N66+IF(_xlfn.XLOOKUP(J66,B67:B$89,J67:J$89,0,0,1)="put",-_xlfn.XLOOKUP(J66,B67:B$89,O67:O$89,0,0,1)*L66/100,_xlfn.XLOOKUP(J66,B67:B$89,O67:O$89,0,0,1)*L66/100))/M66,_xlfn.XLOOKUP(B66,B67:B$89,O67:O$89,,0,1)),IF(M66&lt;0,IF(M66&lt;_xlfn.XLOOKUP(B66,B67:B$89,M67:M$89,0,0,1),(_xlfn.XLOOKUP(B66,B67:B$89,O67:O$89,0,0,1)*_xlfn.XLOOKUP(B66,B67:B$89,M67:M$89,0,0,1)-(F66-H66)*N66)/M66,_xlfn.XLOOKUP(B66,B67:B$89,O66:O$88,,0,1)),0))))</f>
        <v>5814.8869999999997</v>
      </c>
      <c r="P66" s="10" cm="1">
        <f t="array" ref="P66">IF(_xlfn.XLOOKUP(B66,J$2:J66,J$2:J66,0,0,-1)=B66,0,IF(G66="",-H66*N66,IFERROR(IF(_xlfn.XLOOKUP(B66,B67:B$89,M67:M$89,,0,1)&lt;0,IF(M66&gt;_xlfn.XLOOKUP(B66,B67:B$89,M67:M$89,,0,1),L66*_xlfn.XLOOKUP(B66,B67:B$89,O67:O$89,,0,1)+(-F66-H66)*N66,0),IF(_xlfn.XLOOKUP(B66,B67:B$89,M67:M$89,,0,1)&gt;0,IF(M66&lt;_xlfn.XLOOKUP(B66,B67:B$89,M67:M$89,,0,1),(F66-H66)*N66-_xlfn.XLOOKUP(B66,B67:B$89,O67:O$89,,0,1)*-L66,0),0)),0)))</f>
        <v>0</v>
      </c>
      <c r="Q66" s="56">
        <v>141.197</v>
      </c>
      <c r="R66" s="56">
        <v>140.86699999999999</v>
      </c>
      <c r="S66" s="10" cm="1">
        <f t="array" ref="S66">IF(F66=0,_xlfn.XLOOKUP(B66,B67:B$89,S67:S$89,0,0,1),IF(_xlfn.XLOOKUP(B66,B67:B$89,M67:M$89,1,0,1)=0,IF(M66&gt;0,(F66+H66)*N66/M66,(F66-H66)*N66/-M66),IF(M66&gt;0,IF(M66&gt;_xlfn.XLOOKUP(B66,B67:B$89,M67:M$89,0,0,1),(_xlfn.XLOOKUP(B66,B67:B$89,S67:S$89,0,0,1)*MAX(1,Q66/_xlfn.XLOOKUP(B66,B67:B$89,Q67:Q$89,Q66,0,1))*_xlfn.XLOOKUP(B66,B67:B$89,M67:M$89,0,0,1)+(F66+H66)*N66+IF(_xlfn.XLOOKUP(J66,B67:B$89,J67:J$89,0,0,1)="put",-_xlfn.XLOOKUP(J66,B67:B$89,S67:S$89,0,0,1)*L66/100,_xlfn.XLOOKUP(J66,B67:B$89,S67:S$89,0,0,1)*L66/100))/M66,_xlfn.XLOOKUP(B66,B67:B$89,S67:S$89,,0,1)*MAX(1,Q66/_xlfn.XLOOKUP(B66,B67:B$89,Q67:Q$89,Q66,0,1))),IF(M66&lt;0,IF(M66&lt;_xlfn.XLOOKUP(B66,B67:B$89,M67:M$89,0,0,1),(_xlfn.XLOOKUP(B66,B67:B$89,S67:S$89,0,0,1)*_xlfn.XLOOKUP(B66,B67:B$89,M67:M$89,0,0,1)-(F66-H66)*N66)/M66,_xlfn.XLOOKUP(B66,B67:B$89,S67:S$89,,0,1)),0))))</f>
        <v>5814.8869999999997</v>
      </c>
      <c r="T66" s="59" cm="1">
        <f t="array" ref="T66">IF(_xlfn.XLOOKUP(B66,J$2:J66,J$2:J66,0,0,-1)=B66,0,IF(G66="",-H66*N66,IFERROR(IF(_xlfn.XLOOKUP(B66,B67:B$89,M67:M$89,,0,1)&lt;0,IF(M66&gt;_xlfn.XLOOKUP(B66,B67:B$89,M67:M$89,,0,1),L66*_xlfn.XLOOKUP(B66,B67:B$89,S67:S$89,,0,1)+(-F66-H66)*N66,0),IF(_xlfn.XLOOKUP(B66,B67:B$89,M67:M$89,,0,1)&gt;0,IF(M66&lt;_xlfn.XLOOKUP(B66,B67:B$89,M67:M$89,,0,1),(F66-H66)*N66-_xlfn.XLOOKUP(B66,B67:B$89,S67:S$89,,0,1)*-L66*MAX(1,R66/_xlfn.XLOOKUP(B66,B67:B$89,Q67:Q$89,R66,0,1)),0),0)),0)))</f>
        <v>0</v>
      </c>
      <c r="U66" s="56" t="str" cm="1">
        <f t="array" ref="U66">IF(AND(OR(J66="call",J66="put"),T66&lt;&gt;0),1,IF(T66=0,"-",IF(L66&lt;0, _xlfn.LET(_xlpm.v_cant, ABS(L66), _xlpm.v_fecha, I66, _xlpm.v_ticker, B66, _xlpm.rango_f, I67:I$1000, _xlpm.rango_t, L67:L$1000, _xlpm.filtro, B67:B$1000=_xlpm.v_ticker, _xlpm.c_fechas, _xlfn._xlws.FILTER(_xlpm.rango_f, _xlpm.filtro*(_xlpm.rango_t&gt;0), _xlpm.v_fecha), _xlpm.c_cants, _xlfn._xlws.FILTER(_xlpm.rango_t, _xlpm.filtro*(_xlpm.rango_t&gt;0), 0), _xlpm.v_acums_pasadas, ABS(SUMIFS(L67:L$1000, B67:B$1000, _xlpm.v_ticker, L67:L$1000,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66" s="11"/>
    </row>
    <row r="67" spans="1:22" x14ac:dyDescent="0.45">
      <c r="A67" s="3" t="s">
        <v>224</v>
      </c>
      <c r="B67" s="3" t="s">
        <v>302</v>
      </c>
      <c r="D67" s="3">
        <v>1</v>
      </c>
      <c r="E67" s="3">
        <v>1.97</v>
      </c>
      <c r="F67" s="3">
        <v>197</v>
      </c>
      <c r="G67" s="3" t="s">
        <v>349</v>
      </c>
      <c r="I67" s="14">
        <f>IFERROR(DATE(MID(G67, FIND(",", G67)+2, 4), MATCH(LEFT(G67, 3), {"Jan","Feb","Mar","Apr","May","Jun","Jul","Aug","Sep","Oct","Nov","Dec"}, 0), MID(G67, 5, FIND(",", G67)-5)) + VALUE(MID(G67, FIND(":", G67)-2, 8)),I68)</f>
        <v>45904.663391203707</v>
      </c>
      <c r="J67" s="60" t="str" cm="1">
        <f t="array" ref="J67">IF(OR(ISNUMBER(SEARCH("C",B67)),ISNUMBER(SEARCH("P",B67))),IF(ISNUMBER(SEARCH("C",B67)),"Call","Put"),IF(AND(E67&lt;&gt;0,OR(C67="option exercised",C67="option assigned"),A67="buy"),_xlfn._xlws.FILTER(B$2:B$100,(LEFT(B$2:B$100,LEN(B67))=B67)*(LEN(B$2:B$100)&gt;LEN(B67))*(K$2:K$100=E67)*(I$2:I$100=I67)*(C$2:C$100=C67)*((C67="option assigned")*(ISNUMBER(SEARCH("P",B$2:B$100)))+(C67="option exercised")*(ISNUMBER(SEARCH("C",B$2:B$100)))),""),""))</f>
        <v>Call</v>
      </c>
      <c r="K67" s="9">
        <f t="shared" ref="K67:K88" si="4">IFERROR(VALUE(MID(B67, FIND(IF(ISNUMBER(SEARCH("C",B67)), "C", "P"), B67) + 1, 8)) / 1000, 0)</f>
        <v>11</v>
      </c>
      <c r="L67" s="5">
        <f t="shared" si="3"/>
        <v>1</v>
      </c>
      <c r="M67" s="5">
        <f>SUMIF(B67:B$88,B67,L67:L$88)</f>
        <v>1</v>
      </c>
      <c r="N67" s="9">
        <v>18.7577</v>
      </c>
      <c r="O67" s="10" cm="1">
        <f t="array" ref="O67">IF(F67=0,_xlfn.XLOOKUP(B67,B68:B$89,O68:O$89,0,0,1),IF(_xlfn.XLOOKUP(B67,B68:B$89,M68:M$89,1,0,1)=0,IF(M67&gt;0,(F67+H67)*N67/M67,(F67-H67)*N67/-M67),IF(M67&gt;0,IF(M67&gt;_xlfn.XLOOKUP(B67,B68:B$89,M68:M$89,0,0,1),(_xlfn.XLOOKUP(B67,B68:B$89,O68:O$89,0,0,1)*_xlfn.XLOOKUP(B67,B68:B$89,M68:M$89,0,0,1)+(F67+H67)*N67+IF(_xlfn.XLOOKUP(J67,B68:B$89,J68:J$89,0,0,1)="put",-_xlfn.XLOOKUP(J67,B68:B$89,O68:O$89,0,0,1)*L67/100,_xlfn.XLOOKUP(J67,B68:B$89,O68:O$89,0,0,1)*L67/100))/M67,_xlfn.XLOOKUP(B67,B68:B$89,O68:O$89,,0,1)),IF(M67&lt;0,IF(M67&lt;_xlfn.XLOOKUP(B67,B68:B$89,M68:M$89,0,0,1),(_xlfn.XLOOKUP(B67,B68:B$89,O68:O$89,0,0,1)*_xlfn.XLOOKUP(B67,B68:B$89,M68:M$89,0,0,1)-(F67-H67)*N67)/M67,_xlfn.XLOOKUP(B67,B68:B$89,O67:O$88,,0,1)),0))))</f>
        <v>3695.2669000000001</v>
      </c>
      <c r="P67" s="10" cm="1">
        <f t="array" ref="P67">IF(_xlfn.XLOOKUP(B67,J$2:J67,J$2:J67,0,0,-1)=B67,0,IF(G67="",-H67*N67,IFERROR(IF(_xlfn.XLOOKUP(B67,B68:B$89,M68:M$89,,0,1)&lt;0,IF(M67&gt;_xlfn.XLOOKUP(B67,B68:B$89,M68:M$89,,0,1),L67*_xlfn.XLOOKUP(B67,B68:B$89,O68:O$89,,0,1)+(-F67-H67)*N67,0),IF(_xlfn.XLOOKUP(B67,B68:B$89,M68:M$89,,0,1)&gt;0,IF(M67&lt;_xlfn.XLOOKUP(B67,B68:B$89,M68:M$89,,0,1),(F67-H67)*N67-_xlfn.XLOOKUP(B67,B68:B$89,O68:O$89,,0,1)*-L67,0),0)),0)))</f>
        <v>0</v>
      </c>
      <c r="Q67" s="56">
        <v>141.197</v>
      </c>
      <c r="R67" s="56">
        <v>140.86699999999999</v>
      </c>
      <c r="S67" s="10" cm="1">
        <f t="array" ref="S67">IF(F67=0,_xlfn.XLOOKUP(B67,B68:B$89,S68:S$89,0,0,1),IF(_xlfn.XLOOKUP(B67,B68:B$89,M68:M$89,1,0,1)=0,IF(M67&gt;0,(F67+H67)*N67/M67,(F67-H67)*N67/-M67),IF(M67&gt;0,IF(M67&gt;_xlfn.XLOOKUP(B67,B68:B$89,M68:M$89,0,0,1),(_xlfn.XLOOKUP(B67,B68:B$89,S68:S$89,0,0,1)*MAX(1,Q67/_xlfn.XLOOKUP(B67,B68:B$89,Q68:Q$89,Q67,0,1))*_xlfn.XLOOKUP(B67,B68:B$89,M68:M$89,0,0,1)+(F67+H67)*N67+IF(_xlfn.XLOOKUP(J67,B68:B$89,J68:J$89,0,0,1)="put",-_xlfn.XLOOKUP(J67,B68:B$89,S68:S$89,0,0,1)*L67/100,_xlfn.XLOOKUP(J67,B68:B$89,S68:S$89,0,0,1)*L67/100))/M67,_xlfn.XLOOKUP(B67,B68:B$89,S68:S$89,,0,1)*MAX(1,Q67/_xlfn.XLOOKUP(B67,B68:B$89,Q68:Q$89,Q67,0,1))),IF(M67&lt;0,IF(M67&lt;_xlfn.XLOOKUP(B67,B68:B$89,M68:M$89,0,0,1),(_xlfn.XLOOKUP(B67,B68:B$89,S68:S$89,0,0,1)*_xlfn.XLOOKUP(B67,B68:B$89,M68:M$89,0,0,1)-(F67-H67)*N67)/M67,_xlfn.XLOOKUP(B67,B68:B$89,S68:S$89,,0,1)),0))))</f>
        <v>3695.2669000000001</v>
      </c>
      <c r="T67" s="59" cm="1">
        <f t="array" ref="T67">IF(_xlfn.XLOOKUP(B67,J$2:J67,J$2:J67,0,0,-1)=B67,0,IF(G67="",-H67*N67,IFERROR(IF(_xlfn.XLOOKUP(B67,B68:B$89,M68:M$89,,0,1)&lt;0,IF(M67&gt;_xlfn.XLOOKUP(B67,B68:B$89,M68:M$89,,0,1),L67*_xlfn.XLOOKUP(B67,B68:B$89,S68:S$89,,0,1)+(-F67-H67)*N67,0),IF(_xlfn.XLOOKUP(B67,B68:B$89,M68:M$89,,0,1)&gt;0,IF(M67&lt;_xlfn.XLOOKUP(B67,B68:B$89,M68:M$89,,0,1),(F67-H67)*N67-_xlfn.XLOOKUP(B67,B68:B$89,S68:S$89,,0,1)*-L67*MAX(1,R67/_xlfn.XLOOKUP(B67,B68:B$89,Q68:Q$89,R67,0,1)),0),0)),0)))</f>
        <v>0</v>
      </c>
      <c r="U67" s="56" t="str" cm="1">
        <f t="array" ref="U67">IF(AND(OR(J67="call",J67="put"),T67&lt;&gt;0),1,IF(T67=0,"-",IF(L67&lt;0, _xlfn.LET(_xlpm.v_cant, ABS(L67), _xlpm.v_fecha, I67, _xlpm.v_ticker, B67, _xlpm.rango_f, I68:I$1000, _xlpm.rango_t, L68:L$1000, _xlpm.filtro, B68:B$1000=_xlpm.v_ticker, _xlpm.c_fechas, _xlfn._xlws.FILTER(_xlpm.rango_f, _xlpm.filtro*(_xlpm.rango_t&gt;0), _xlpm.v_fecha), _xlpm.c_cants, _xlfn._xlws.FILTER(_xlpm.rango_t, _xlpm.filtro*(_xlpm.rango_t&gt;0), 0), _xlpm.v_acums_pasadas, ABS(SUMIFS(L68:L$1000, B68:B$1000, _xlpm.v_ticker, L68:L$1000,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67" s="11"/>
    </row>
    <row r="68" spans="1:22" x14ac:dyDescent="0.45">
      <c r="A68" s="3" t="s">
        <v>222</v>
      </c>
      <c r="B68" s="3" t="s">
        <v>350</v>
      </c>
      <c r="H68" s="3">
        <v>5.99</v>
      </c>
      <c r="I68" s="14">
        <f>IFERROR(DATE(MID(G68, FIND(",", G68)+2, 4), MATCH(LEFT(G68, 3), {"Jan","Feb","Mar","Apr","May","Jun","Jul","Aug","Sep","Oct","Nov","Dec"}, 0), MID(G68, 5, FIND(",", G68)-5)) + VALUE(MID(G68, FIND(":", G68)-2, 8)),I69)</f>
        <v>45903.498877314814</v>
      </c>
      <c r="J68" s="60" t="str" cm="1">
        <f t="array" ref="J68">IF(OR(ISNUMBER(SEARCH("C",B68)),ISNUMBER(SEARCH("P",B68))),IF(ISNUMBER(SEARCH("C",B68)),"Call","Put"),IF(AND(E68&lt;&gt;0,OR(C68="option exercised",C68="option assigned"),A68="buy"),_xlfn._xlws.FILTER(B$2:B$100,(LEFT(B$2:B$100,LEN(B68))=B68)*(LEN(B$2:B$100)&gt;LEN(B68))*(K$2:K$100=E68)*(I$2:I$100=I68)*(C$2:C$100=C68)*((C68="option assigned")*(ISNUMBER(SEARCH("P",B$2:B$100)))+(C68="option exercised")*(ISNUMBER(SEARCH("C",B$2:B$100)))),""),""))</f>
        <v>Put</v>
      </c>
      <c r="K68" s="9">
        <f t="shared" si="4"/>
        <v>0</v>
      </c>
      <c r="L68" s="5">
        <f t="shared" si="3"/>
        <v>0</v>
      </c>
      <c r="M68" s="5">
        <f>SUMIF(B68:B$88,B68,L68:L$88)</f>
        <v>0</v>
      </c>
      <c r="N68" s="9">
        <v>18.6873</v>
      </c>
      <c r="O68" s="10" cm="1">
        <f t="array" ref="O68">IF(F68=0,_xlfn.XLOOKUP(B68,B69:B$89,O69:O$89,0,0,1),IF(_xlfn.XLOOKUP(B68,B69:B$89,M69:M$89,1,0,1)=0,IF(M68&gt;0,(F68+H68)*N68/M68,(F68-H68)*N68/-M68),IF(M68&gt;0,IF(M68&gt;_xlfn.XLOOKUP(B68,B69:B$89,M69:M$89,0,0,1),(_xlfn.XLOOKUP(B68,B69:B$89,O69:O$89,0,0,1)*_xlfn.XLOOKUP(B68,B69:B$89,M69:M$89,0,0,1)+(F68+H68)*N68+IF(_xlfn.XLOOKUP(J68,B69:B$89,J69:J$89,0,0,1)="put",-_xlfn.XLOOKUP(J68,B69:B$89,O69:O$89,0,0,1)*L68/100,_xlfn.XLOOKUP(J68,B69:B$89,O69:O$89,0,0,1)*L68/100))/M68,_xlfn.XLOOKUP(B68,B69:B$89,O69:O$89,,0,1)),IF(M68&lt;0,IF(M68&lt;_xlfn.XLOOKUP(B68,B69:B$89,M69:M$89,0,0,1),(_xlfn.XLOOKUP(B68,B69:B$89,O69:O$89,0,0,1)*_xlfn.XLOOKUP(B68,B69:B$89,M69:M$89,0,0,1)-(F68-H68)*N68)/M68,_xlfn.XLOOKUP(B68,B69:B$89,O68:O$88,,0,1)),0))))</f>
        <v>0</v>
      </c>
      <c r="P68" s="10" cm="1">
        <f t="array" ref="P68">IF(_xlfn.XLOOKUP(B68,J$2:J68,J$2:J68,0,0,-1)=B68,0,IF(G68="",-H68*N68,IFERROR(IF(_xlfn.XLOOKUP(B68,B69:B$89,M69:M$89,,0,1)&lt;0,IF(M68&gt;_xlfn.XLOOKUP(B68,B69:B$89,M69:M$89,,0,1),L68*_xlfn.XLOOKUP(B68,B69:B$89,O69:O$89,,0,1)+(-F68-H68)*N68,0),IF(_xlfn.XLOOKUP(B68,B69:B$89,M69:M$89,,0,1)&gt;0,IF(M68&lt;_xlfn.XLOOKUP(B68,B69:B$89,M69:M$89,,0,1),(F68-H68)*N68-_xlfn.XLOOKUP(B68,B69:B$89,O69:O$89,,0,1)*-L68,0),0)),0)))</f>
        <v>-111.93692700000001</v>
      </c>
      <c r="Q68" s="56">
        <v>141.197</v>
      </c>
      <c r="R68" s="56">
        <v>140.86699999999999</v>
      </c>
      <c r="S68" s="10" cm="1">
        <f t="array" ref="S68">IF(F68=0,_xlfn.XLOOKUP(B68,B69:B$89,S69:S$89,0,0,1),IF(_xlfn.XLOOKUP(B68,B69:B$89,M69:M$89,1,0,1)=0,IF(M68&gt;0,(F68+H68)*N68/M68,(F68-H68)*N68/-M68),IF(M68&gt;0,IF(M68&gt;_xlfn.XLOOKUP(B68,B69:B$89,M69:M$89,0,0,1),(_xlfn.XLOOKUP(B68,B69:B$89,S69:S$89,0,0,1)*MAX(1,Q68/_xlfn.XLOOKUP(B68,B69:B$89,Q69:Q$89,Q68,0,1))*_xlfn.XLOOKUP(B68,B69:B$89,M69:M$89,0,0,1)+(F68+H68)*N68+IF(_xlfn.XLOOKUP(J68,B69:B$89,J69:J$89,0,0,1)="put",-_xlfn.XLOOKUP(J68,B69:B$89,S69:S$89,0,0,1)*L68/100,_xlfn.XLOOKUP(J68,B69:B$89,S69:S$89,0,0,1)*L68/100))/M68,_xlfn.XLOOKUP(B68,B69:B$89,S69:S$89,,0,1)*MAX(1,Q68/_xlfn.XLOOKUP(B68,B69:B$89,Q69:Q$89,Q68,0,1))),IF(M68&lt;0,IF(M68&lt;_xlfn.XLOOKUP(B68,B69:B$89,M69:M$89,0,0,1),(_xlfn.XLOOKUP(B68,B69:B$89,S69:S$89,0,0,1)*_xlfn.XLOOKUP(B68,B69:B$89,M69:M$89,0,0,1)-(F68-H68)*N68)/M68,_xlfn.XLOOKUP(B68,B69:B$89,S69:S$89,,0,1)),0))))</f>
        <v>0</v>
      </c>
      <c r="T68" s="59" cm="1">
        <f t="array" ref="T68">IF(_xlfn.XLOOKUP(B68,J$2:J68,J$2:J68,0,0,-1)=B68,0,IF(G68="",-H68*N68,IFERROR(IF(_xlfn.XLOOKUP(B68,B69:B$89,M69:M$89,,0,1)&lt;0,IF(M68&gt;_xlfn.XLOOKUP(B68,B69:B$89,M69:M$89,,0,1),L68*_xlfn.XLOOKUP(B68,B69:B$89,S69:S$89,,0,1)+(-F68-H68)*N68,0),IF(_xlfn.XLOOKUP(B68,B69:B$89,M69:M$89,,0,1)&gt;0,IF(M68&lt;_xlfn.XLOOKUP(B68,B69:B$89,M69:M$89,,0,1),(F68-H68)*N68-_xlfn.XLOOKUP(B68,B69:B$89,S69:S$89,,0,1)*-L68*MAX(1,R68/_xlfn.XLOOKUP(B68,B69:B$89,Q69:Q$89,R68,0,1)),0),0)),0)))</f>
        <v>-111.93692700000001</v>
      </c>
      <c r="U68" s="56" cm="1">
        <f t="array" ref="U68">IF(AND(OR(J68="call",J68="put"),T68&lt;&gt;0),1,IF(T68=0,"-",IF(L68&lt;0, _xlfn.LET(_xlpm.v_cant, ABS(L68), _xlpm.v_fecha, I68, _xlpm.v_ticker, B68, _xlpm.rango_f, I69:I$1000, _xlpm.rango_t, L69:L$1000, _xlpm.filtro, B69:B$1000=_xlpm.v_ticker, _xlpm.c_fechas, _xlfn._xlws.FILTER(_xlpm.rango_f, _xlpm.filtro*(_xlpm.rango_t&gt;0), _xlpm.v_fecha), _xlpm.c_cants, _xlfn._xlws.FILTER(_xlpm.rango_t, _xlpm.filtro*(_xlpm.rango_t&gt;0), 0), _xlpm.v_acums_pasadas, ABS(SUMIFS(L69:L$1000, B69:B$1000, _xlpm.v_ticker, L69:L$1000,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8" s="11"/>
    </row>
    <row r="69" spans="1:22" x14ac:dyDescent="0.45">
      <c r="A69" s="3" t="s">
        <v>224</v>
      </c>
      <c r="B69" s="3" t="s">
        <v>351</v>
      </c>
      <c r="D69" s="3">
        <v>1</v>
      </c>
      <c r="E69" s="3">
        <v>0.18</v>
      </c>
      <c r="F69" s="3">
        <v>18</v>
      </c>
      <c r="G69" s="3" t="s">
        <v>352</v>
      </c>
      <c r="I69" s="14">
        <f>IFERROR(DATE(MID(G69, FIND(",", G69)+2, 4), MATCH(LEFT(G69, 3), {"Jan","Feb","Mar","Apr","May","Jun","Jul","Aug","Sep","Oct","Nov","Dec"}, 0), MID(G69, 5, FIND(",", G69)-5)) + VALUE(MID(G69, FIND(":", G69)-2, 8)),I70)</f>
        <v>45903.498877314814</v>
      </c>
      <c r="J69" s="60" t="str" cm="1">
        <f t="array" ref="J69">IF(OR(ISNUMBER(SEARCH("C",B69)),ISNUMBER(SEARCH("P",B69))),IF(ISNUMBER(SEARCH("C",B69)),"Call","Put"),IF(AND(E69&lt;&gt;0,OR(C69="option exercised",C69="option assigned"),A69="buy"),_xlfn._xlws.FILTER(B$2:B$100,(LEFT(B$2:B$100,LEN(B69))=B69)*(LEN(B$2:B$100)&gt;LEN(B69))*(K$2:K$100=E69)*(I$2:I$100=I69)*(C$2:C$100=C69)*((C69="option assigned")*(ISNUMBER(SEARCH("P",B$2:B$100)))+(C69="option exercised")*(ISNUMBER(SEARCH("C",B$2:B$100)))),""),""))</f>
        <v>Put</v>
      </c>
      <c r="K69" s="9">
        <f t="shared" si="4"/>
        <v>59</v>
      </c>
      <c r="L69" s="5">
        <f t="shared" si="3"/>
        <v>1</v>
      </c>
      <c r="M69" s="5">
        <f>SUMIF(B69:B$88,B69,L69:L$88)</f>
        <v>0</v>
      </c>
      <c r="N69" s="9">
        <v>18.6873</v>
      </c>
      <c r="O69" s="10" cm="1">
        <f t="array" ref="O69">IF(F69=0,_xlfn.XLOOKUP(B69,B70:B$89,O70:O$89,0,0,1),IF(_xlfn.XLOOKUP(B69,B70:B$89,M70:M$89,1,0,1)=0,IF(M69&gt;0,(F69+H69)*N69/M69,(F69-H69)*N69/-M69),IF(M69&gt;0,IF(M69&gt;_xlfn.XLOOKUP(B69,B70:B$89,M70:M$89,0,0,1),(_xlfn.XLOOKUP(B69,B70:B$89,O70:O$89,0,0,1)*_xlfn.XLOOKUP(B69,B70:B$89,M70:M$89,0,0,1)+(F69+H69)*N69+IF(_xlfn.XLOOKUP(J69,B70:B$89,J70:J$89,0,0,1)="put",-_xlfn.XLOOKUP(J69,B70:B$89,O70:O$89,0,0,1)*L69/100,_xlfn.XLOOKUP(J69,B70:B$89,O70:O$89,0,0,1)*L69/100))/M69,_xlfn.XLOOKUP(B69,B70:B$89,O70:O$89,,0,1)),IF(M69&lt;0,IF(M69&lt;_xlfn.XLOOKUP(B69,B70:B$89,M70:M$89,0,0,1),(_xlfn.XLOOKUP(B69,B70:B$89,O70:O$89,0,0,1)*_xlfn.XLOOKUP(B69,B70:B$89,M70:M$89,0,0,1)-(F69-H69)*N69)/M69,_xlfn.XLOOKUP(B69,B70:B$89,O69:O$88,,0,1)),0))))</f>
        <v>0</v>
      </c>
      <c r="P69" s="10" cm="1">
        <f t="array" ref="P69">IF(_xlfn.XLOOKUP(B69,J$2:J69,J$2:J69,0,0,-1)=B69,0,IF(G69="",-H69*N69,IFERROR(IF(_xlfn.XLOOKUP(B69,B70:B$89,M70:M$89,,0,1)&lt;0,IF(M69&gt;_xlfn.XLOOKUP(B69,B70:B$89,M70:M$89,,0,1),L69*_xlfn.XLOOKUP(B69,B70:B$89,O70:O$89,,0,1)+(-F69-H69)*N69,0),IF(_xlfn.XLOOKUP(B69,B70:B$89,M70:M$89,,0,1)&gt;0,IF(M69&lt;_xlfn.XLOOKUP(B69,B70:B$89,M70:M$89,,0,1),(F69-H69)*N69-_xlfn.XLOOKUP(B69,B70:B$89,O70:O$89,,0,1)*-L69,0),0)),0)))</f>
        <v>222.94859999999994</v>
      </c>
      <c r="Q69" s="56">
        <v>141.197</v>
      </c>
      <c r="R69" s="56">
        <v>140.86699999999999</v>
      </c>
      <c r="S69" s="10" cm="1">
        <f t="array" ref="S69">IF(F69=0,_xlfn.XLOOKUP(B69,B70:B$89,S70:S$89,0,0,1),IF(_xlfn.XLOOKUP(B69,B70:B$89,M70:M$89,1,0,1)=0,IF(M69&gt;0,(F69+H69)*N69/M69,(F69-H69)*N69/-M69),IF(M69&gt;0,IF(M69&gt;_xlfn.XLOOKUP(B69,B70:B$89,M70:M$89,0,0,1),(_xlfn.XLOOKUP(B69,B70:B$89,S70:S$89,0,0,1)*MAX(1,Q69/_xlfn.XLOOKUP(B69,B70:B$89,Q70:Q$89,Q69,0,1))*_xlfn.XLOOKUP(B69,B70:B$89,M70:M$89,0,0,1)+(F69+H69)*N69+IF(_xlfn.XLOOKUP(J69,B70:B$89,J70:J$89,0,0,1)="put",-_xlfn.XLOOKUP(J69,B70:B$89,S70:S$89,0,0,1)*L69/100,_xlfn.XLOOKUP(J69,B70:B$89,S70:S$89,0,0,1)*L69/100))/M69,_xlfn.XLOOKUP(B69,B70:B$89,S70:S$89,,0,1)*MAX(1,Q69/_xlfn.XLOOKUP(B69,B70:B$89,Q70:Q$89,Q69,0,1))),IF(M69&lt;0,IF(M69&lt;_xlfn.XLOOKUP(B69,B70:B$89,M70:M$89,0,0,1),(_xlfn.XLOOKUP(B69,B70:B$89,S70:S$89,0,0,1)*_xlfn.XLOOKUP(B69,B70:B$89,M70:M$89,0,0,1)-(F69-H69)*N69)/M69,_xlfn.XLOOKUP(B69,B70:B$89,S70:S$89,,0,1)),0))))</f>
        <v>0</v>
      </c>
      <c r="T69" s="59" cm="1">
        <f t="array" ref="T69">IF(_xlfn.XLOOKUP(B69,J$2:J69,J$2:J69,0,0,-1)=B69,0,IF(G69="",-H69*N69,IFERROR(IF(_xlfn.XLOOKUP(B69,B70:B$89,M70:M$89,,0,1)&lt;0,IF(M69&gt;_xlfn.XLOOKUP(B69,B70:B$89,M70:M$89,,0,1),L69*_xlfn.XLOOKUP(B69,B70:B$89,S70:S$89,,0,1)+(-F69-H69)*N69,0),IF(_xlfn.XLOOKUP(B69,B70:B$89,M70:M$89,,0,1)&gt;0,IF(M69&lt;_xlfn.XLOOKUP(B69,B70:B$89,M70:M$89,,0,1),(F69-H69)*N69-_xlfn.XLOOKUP(B69,B70:B$89,S70:S$89,,0,1)*-L69*MAX(1,R69/_xlfn.XLOOKUP(B69,B70:B$89,Q70:Q$89,R69,0,1)),0),0)),0)))</f>
        <v>222.94859999999994</v>
      </c>
      <c r="U69" s="56" cm="1">
        <f t="array" ref="U69">IF(AND(OR(J69="call",J69="put"),T69&lt;&gt;0),1,IF(T69=0,"-",IF(L69&lt;0, _xlfn.LET(_xlpm.v_cant, ABS(L69), _xlpm.v_fecha, I69, _xlpm.v_ticker, B69, _xlpm.rango_f, I70:I$1000, _xlpm.rango_t, L70:L$1000, _xlpm.filtro, B70:B$1000=_xlpm.v_ticker, _xlpm.c_fechas, _xlfn._xlws.FILTER(_xlpm.rango_f, _xlpm.filtro*(_xlpm.rango_t&gt;0), _xlpm.v_fecha), _xlpm.c_cants, _xlfn._xlws.FILTER(_xlpm.rango_t, _xlpm.filtro*(_xlpm.rango_t&gt;0), 0), _xlpm.v_acums_pasadas, ABS(SUMIFS(L70:L$1000, B70:B$1000, _xlpm.v_ticker, L70:L$1000,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69" s="11"/>
    </row>
    <row r="70" spans="1:22" x14ac:dyDescent="0.45">
      <c r="A70" s="3" t="s">
        <v>222</v>
      </c>
      <c r="B70" s="3" t="s">
        <v>353</v>
      </c>
      <c r="D70" s="3">
        <v>1</v>
      </c>
      <c r="E70" s="3">
        <v>0.56999999999999995</v>
      </c>
      <c r="F70" s="3">
        <v>57</v>
      </c>
      <c r="G70" s="3" t="s">
        <v>352</v>
      </c>
      <c r="I70" s="14">
        <f>IFERROR(DATE(MID(G70, FIND(",", G70)+2, 4), MATCH(LEFT(G70, 3), {"Jan","Feb","Mar","Apr","May","Jun","Jul","Aug","Sep","Oct","Nov","Dec"}, 0), MID(G70, 5, FIND(",", G70)-5)) + VALUE(MID(G70, FIND(":", G70)-2, 8)),I71)</f>
        <v>45903.498877314814</v>
      </c>
      <c r="J70" s="60" t="str" cm="1">
        <f t="array" ref="J70">IF(OR(ISNUMBER(SEARCH("C",B70)),ISNUMBER(SEARCH("P",B70))),IF(ISNUMBER(SEARCH("C",B70)),"Call","Put"),IF(AND(E70&lt;&gt;0,OR(C70="option exercised",C70="option assigned"),A70="buy"),_xlfn._xlws.FILTER(B$2:B$100,(LEFT(B$2:B$100,LEN(B70))=B70)*(LEN(B$2:B$100)&gt;LEN(B70))*(K$2:K$100=E70)*(I$2:I$100=I70)*(C$2:C$100=C70)*((C70="option assigned")*(ISNUMBER(SEARCH("P",B$2:B$100)))+(C70="option exercised")*(ISNUMBER(SEARCH("C",B$2:B$100)))),""),""))</f>
        <v>Put</v>
      </c>
      <c r="K70" s="9">
        <f t="shared" si="4"/>
        <v>61</v>
      </c>
      <c r="L70" s="5">
        <f t="shared" si="3"/>
        <v>-1</v>
      </c>
      <c r="M70" s="5">
        <f>SUMIF(B70:B$88,B70,L70:L$88)</f>
        <v>0</v>
      </c>
      <c r="N70" s="9">
        <v>18.6873</v>
      </c>
      <c r="O70" s="10" cm="1">
        <f t="array" ref="O70">IF(F70=0,_xlfn.XLOOKUP(B70,B71:B$89,O71:O$89,0,0,1),IF(_xlfn.XLOOKUP(B70,B71:B$89,M71:M$89,1,0,1)=0,IF(M70&gt;0,(F70+H70)*N70/M70,(F70-H70)*N70/-M70),IF(M70&gt;0,IF(M70&gt;_xlfn.XLOOKUP(B70,B71:B$89,M71:M$89,0,0,1),(_xlfn.XLOOKUP(B70,B71:B$89,O71:O$89,0,0,1)*_xlfn.XLOOKUP(B70,B71:B$89,M71:M$89,0,0,1)+(F70+H70)*N70+IF(_xlfn.XLOOKUP(J70,B71:B$89,J71:J$89,0,0,1)="put",-_xlfn.XLOOKUP(J70,B71:B$89,O71:O$89,0,0,1)*L70/100,_xlfn.XLOOKUP(J70,B71:B$89,O71:O$89,0,0,1)*L70/100))/M70,_xlfn.XLOOKUP(B70,B71:B$89,O71:O$89,,0,1)),IF(M70&lt;0,IF(M70&lt;_xlfn.XLOOKUP(B70,B71:B$89,M71:M$89,0,0,1),(_xlfn.XLOOKUP(B70,B71:B$89,O71:O$89,0,0,1)*_xlfn.XLOOKUP(B70,B71:B$89,M71:M$89,0,0,1)-(F70-H70)*N70)/M70,_xlfn.XLOOKUP(B70,B71:B$89,O70:O$88,,0,1)),0))))</f>
        <v>0</v>
      </c>
      <c r="P70" s="10" cm="1">
        <f t="array" ref="P70">IF(_xlfn.XLOOKUP(B70,J$2:J70,J$2:J70,0,0,-1)=B70,0,IF(G70="",-H70*N70,IFERROR(IF(_xlfn.XLOOKUP(B70,B71:B$89,M71:M$89,,0,1)&lt;0,IF(M70&gt;_xlfn.XLOOKUP(B70,B71:B$89,M71:M$89,,0,1),L70*_xlfn.XLOOKUP(B70,B71:B$89,O71:O$89,,0,1)+(-F70-H70)*N70,0),IF(_xlfn.XLOOKUP(B70,B71:B$89,M71:M$89,,0,1)&gt;0,IF(M70&lt;_xlfn.XLOOKUP(B70,B71:B$89,M71:M$89,,0,1),(F70-H70)*N70-_xlfn.XLOOKUP(B70,B71:B$89,O71:O$89,,0,1)*-L70,0),0)),0)))</f>
        <v>-128.03989999999976</v>
      </c>
      <c r="Q70" s="56">
        <v>141.197</v>
      </c>
      <c r="R70" s="56">
        <v>140.86699999999999</v>
      </c>
      <c r="S70" s="10" cm="1">
        <f t="array" ref="S70">IF(F70=0,_xlfn.XLOOKUP(B70,B71:B$89,S71:S$89,0,0,1),IF(_xlfn.XLOOKUP(B70,B71:B$89,M71:M$89,1,0,1)=0,IF(M70&gt;0,(F70+H70)*N70/M70,(F70-H70)*N70/-M70),IF(M70&gt;0,IF(M70&gt;_xlfn.XLOOKUP(B70,B71:B$89,M71:M$89,0,0,1),(_xlfn.XLOOKUP(B70,B71:B$89,S71:S$89,0,0,1)*MAX(1,Q70/_xlfn.XLOOKUP(B70,B71:B$89,Q71:Q$89,Q70,0,1))*_xlfn.XLOOKUP(B70,B71:B$89,M71:M$89,0,0,1)+(F70+H70)*N70+IF(_xlfn.XLOOKUP(J70,B71:B$89,J71:J$89,0,0,1)="put",-_xlfn.XLOOKUP(J70,B71:B$89,S71:S$89,0,0,1)*L70/100,_xlfn.XLOOKUP(J70,B71:B$89,S71:S$89,0,0,1)*L70/100))/M70,_xlfn.XLOOKUP(B70,B71:B$89,S71:S$89,,0,1)*MAX(1,Q70/_xlfn.XLOOKUP(B70,B71:B$89,Q71:Q$89,Q70,0,1))),IF(M70&lt;0,IF(M70&lt;_xlfn.XLOOKUP(B70,B71:B$89,M71:M$89,0,0,1),(_xlfn.XLOOKUP(B70,B71:B$89,S71:S$89,0,0,1)*_xlfn.XLOOKUP(B70,B71:B$89,M71:M$89,0,0,1)-(F70-H70)*N70)/M70,_xlfn.XLOOKUP(B70,B71:B$89,S71:S$89,,0,1)),0))))</f>
        <v>0</v>
      </c>
      <c r="T70" s="59" cm="1">
        <f t="array" ref="T70">IF(_xlfn.XLOOKUP(B70,J$2:J70,J$2:J70,0,0,-1)=B70,0,IF(G70="",-H70*N70,IFERROR(IF(_xlfn.XLOOKUP(B70,B71:B$89,M71:M$89,,0,1)&lt;0,IF(M70&gt;_xlfn.XLOOKUP(B70,B71:B$89,M71:M$89,,0,1),L70*_xlfn.XLOOKUP(B70,B71:B$89,S71:S$89,,0,1)+(-F70-H70)*N70,0),IF(_xlfn.XLOOKUP(B70,B71:B$89,M71:M$89,,0,1)&gt;0,IF(M70&lt;_xlfn.XLOOKUP(B70,B71:B$89,M71:M$89,,0,1),(F70-H70)*N70-_xlfn.XLOOKUP(B70,B71:B$89,S71:S$89,,0,1)*-L70*MAX(1,R70/_xlfn.XLOOKUP(B70,B71:B$89,Q71:Q$89,R70,0,1)),0),0)),0)))</f>
        <v>-128.03989999999976</v>
      </c>
      <c r="U70" s="56" cm="1">
        <f t="array" ref="U70">IF(AND(OR(J70="call",J70="put"),T70&lt;&gt;0),1,IF(T70=0,"-",IF(L70&lt;0, _xlfn.LET(_xlpm.v_cant, ABS(L70), _xlpm.v_fecha, I70, _xlpm.v_ticker, B70, _xlpm.rango_f, I71:I$1000, _xlpm.rango_t, L71:L$1000, _xlpm.filtro, B71:B$1000=_xlpm.v_ticker, _xlpm.c_fechas, _xlfn._xlws.FILTER(_xlpm.rango_f, _xlpm.filtro*(_xlpm.rango_t&gt;0), _xlpm.v_fecha), _xlpm.c_cants, _xlfn._xlws.FILTER(_xlpm.rango_t, _xlpm.filtro*(_xlpm.rango_t&gt;0), 0), _xlpm.v_acums_pasadas, ABS(SUMIFS(L71:L$1000, B71:B$1000, _xlpm.v_ticker, L71:L$1000,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70" s="11"/>
    </row>
    <row r="71" spans="1:22" x14ac:dyDescent="0.45">
      <c r="A71" s="3" t="s">
        <v>222</v>
      </c>
      <c r="B71" s="3" t="s">
        <v>335</v>
      </c>
      <c r="H71" s="3">
        <v>9.9700000000000006</v>
      </c>
      <c r="I71" s="14">
        <f>IFERROR(DATE(MID(G71, FIND(",", G71)+2, 4), MATCH(LEFT(G71, 3), {"Jan","Feb","Mar","Apr","May","Jun","Jul","Aug","Sep","Oct","Nov","Dec"}, 0), MID(G71, 5, FIND(",", G71)-5)) + VALUE(MID(G71, FIND(":", G71)-2, 8)),I72)</f>
        <v>45902.62090277778</v>
      </c>
      <c r="J71" s="60" t="str" cm="1">
        <f t="array" ref="J71">IF(OR(ISNUMBER(SEARCH("C",B71)),ISNUMBER(SEARCH("P",B71))),IF(ISNUMBER(SEARCH("C",B71)),"Call","Put"),IF(AND(E71&lt;&gt;0,OR(C71="option exercised",C71="option assigned"),A71="buy"),_xlfn._xlws.FILTER(B$2:B$100,(LEFT(B$2:B$100,LEN(B71))=B71)*(LEN(B$2:B$100)&gt;LEN(B71))*(K$2:K$100=E71)*(I$2:I$100=I71)*(C$2:C$100=C71)*((C71="option assigned")*(ISNUMBER(SEARCH("P",B$2:B$100)))+(C71="option exercised")*(ISNUMBER(SEARCH("C",B$2:B$100)))),""),""))</f>
        <v>Call</v>
      </c>
      <c r="K71" s="9">
        <f t="shared" si="4"/>
        <v>0</v>
      </c>
      <c r="L71" s="5">
        <f t="shared" si="3"/>
        <v>0</v>
      </c>
      <c r="M71" s="5">
        <f>SUMIF(B71:B$88,B71,L71:L$88)</f>
        <v>0</v>
      </c>
      <c r="N71" s="9">
        <v>18.7072</v>
      </c>
      <c r="O71" s="10" cm="1">
        <f t="array" ref="O71">IF(F71=0,_xlfn.XLOOKUP(B71,B72:B$89,O72:O$89,0,0,1),IF(_xlfn.XLOOKUP(B71,B72:B$89,M72:M$89,1,0,1)=0,IF(M71&gt;0,(F71+H71)*N71/M71,(F71-H71)*N71/-M71),IF(M71&gt;0,IF(M71&gt;_xlfn.XLOOKUP(B71,B72:B$89,M72:M$89,0,0,1),(_xlfn.XLOOKUP(B71,B72:B$89,O72:O$89,0,0,1)*_xlfn.XLOOKUP(B71,B72:B$89,M72:M$89,0,0,1)+(F71+H71)*N71+IF(_xlfn.XLOOKUP(J71,B72:B$89,J72:J$89,0,0,1)="put",-_xlfn.XLOOKUP(J71,B72:B$89,O72:O$89,0,0,1)*L71/100,_xlfn.XLOOKUP(J71,B72:B$89,O72:O$89,0,0,1)*L71/100))/M71,_xlfn.XLOOKUP(B71,B72:B$89,O72:O$89,,0,1)),IF(M71&lt;0,IF(M71&lt;_xlfn.XLOOKUP(B71,B72:B$89,M72:M$89,0,0,1),(_xlfn.XLOOKUP(B71,B72:B$89,O72:O$89,0,0,1)*_xlfn.XLOOKUP(B71,B72:B$89,M72:M$89,0,0,1)-(F71-H71)*N71)/M71,_xlfn.XLOOKUP(B71,B72:B$89,O71:O$88,,0,1)),0))))</f>
        <v>0</v>
      </c>
      <c r="P71" s="10" cm="1">
        <f t="array" ref="P71">IF(_xlfn.XLOOKUP(B71,J$2:J71,J$2:J71,0,0,-1)=B71,0,IF(G71="",-H71*N71,IFERROR(IF(_xlfn.XLOOKUP(B71,B72:B$89,M72:M$89,,0,1)&lt;0,IF(M71&gt;_xlfn.XLOOKUP(B71,B72:B$89,M72:M$89,,0,1),L71*_xlfn.XLOOKUP(B71,B72:B$89,O72:O$89,,0,1)+(-F71-H71)*N71,0),IF(_xlfn.XLOOKUP(B71,B72:B$89,M72:M$89,,0,1)&gt;0,IF(M71&lt;_xlfn.XLOOKUP(B71,B72:B$89,M72:M$89,,0,1),(F71-H71)*N71-_xlfn.XLOOKUP(B71,B72:B$89,O72:O$89,,0,1)*-L71,0),0)),0)))</f>
        <v>-186.510784</v>
      </c>
      <c r="Q71" s="56">
        <v>141.197</v>
      </c>
      <c r="R71" s="56">
        <v>140.86699999999999</v>
      </c>
      <c r="S71" s="10" cm="1">
        <f t="array" ref="S71">IF(F71=0,_xlfn.XLOOKUP(B71,B72:B$89,S72:S$89,0,0,1),IF(_xlfn.XLOOKUP(B71,B72:B$89,M72:M$89,1,0,1)=0,IF(M71&gt;0,(F71+H71)*N71/M71,(F71-H71)*N71/-M71),IF(M71&gt;0,IF(M71&gt;_xlfn.XLOOKUP(B71,B72:B$89,M72:M$89,0,0,1),(_xlfn.XLOOKUP(B71,B72:B$89,S72:S$89,0,0,1)*MAX(1,Q71/_xlfn.XLOOKUP(B71,B72:B$89,Q72:Q$89,Q71,0,1))*_xlfn.XLOOKUP(B71,B72:B$89,M72:M$89,0,0,1)+(F71+H71)*N71+IF(_xlfn.XLOOKUP(J71,B72:B$89,J72:J$89,0,0,1)="put",-_xlfn.XLOOKUP(J71,B72:B$89,S72:S$89,0,0,1)*L71/100,_xlfn.XLOOKUP(J71,B72:B$89,S72:S$89,0,0,1)*L71/100))/M71,_xlfn.XLOOKUP(B71,B72:B$89,S72:S$89,,0,1)*MAX(1,Q71/_xlfn.XLOOKUP(B71,B72:B$89,Q72:Q$89,Q71,0,1))),IF(M71&lt;0,IF(M71&lt;_xlfn.XLOOKUP(B71,B72:B$89,M72:M$89,0,0,1),(_xlfn.XLOOKUP(B71,B72:B$89,S72:S$89,0,0,1)*_xlfn.XLOOKUP(B71,B72:B$89,M72:M$89,0,0,1)-(F71-H71)*N71)/M71,_xlfn.XLOOKUP(B71,B72:B$89,S72:S$89,,0,1)),0))))</f>
        <v>0</v>
      </c>
      <c r="T71" s="59" cm="1">
        <f t="array" ref="T71">IF(_xlfn.XLOOKUP(B71,J$2:J71,J$2:J71,0,0,-1)=B71,0,IF(G71="",-H71*N71,IFERROR(IF(_xlfn.XLOOKUP(B71,B72:B$89,M72:M$89,,0,1)&lt;0,IF(M71&gt;_xlfn.XLOOKUP(B71,B72:B$89,M72:M$89,,0,1),L71*_xlfn.XLOOKUP(B71,B72:B$89,S72:S$89,,0,1)+(-F71-H71)*N71,0),IF(_xlfn.XLOOKUP(B71,B72:B$89,M72:M$89,,0,1)&gt;0,IF(M71&lt;_xlfn.XLOOKUP(B71,B72:B$89,M72:M$89,,0,1),(F71-H71)*N71-_xlfn.XLOOKUP(B71,B72:B$89,S72:S$89,,0,1)*-L71*MAX(1,R71/_xlfn.XLOOKUP(B71,B72:B$89,Q72:Q$89,R71,0,1)),0),0)),0)))</f>
        <v>-186.510784</v>
      </c>
      <c r="U71" s="56" cm="1">
        <f t="array" ref="U71">IF(AND(OR(J71="call",J71="put"),T71&lt;&gt;0),1,IF(T71=0,"-",IF(L71&lt;0, _xlfn.LET(_xlpm.v_cant, ABS(L71), _xlpm.v_fecha, I71, _xlpm.v_ticker, B71, _xlpm.rango_f, I72:I$1000, _xlpm.rango_t, L72:L$1000, _xlpm.filtro, B72:B$1000=_xlpm.v_ticker, _xlpm.c_fechas, _xlfn._xlws.FILTER(_xlpm.rango_f, _xlpm.filtro*(_xlpm.rango_t&gt;0), _xlpm.v_fecha), _xlpm.c_cants, _xlfn._xlws.FILTER(_xlpm.rango_t, _xlpm.filtro*(_xlpm.rango_t&gt;0), 0), _xlpm.v_acums_pasadas, ABS(SUMIFS(L72:L$1000, B72:B$1000, _xlpm.v_ticker, L72:L$1000,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71" s="11"/>
    </row>
    <row r="72" spans="1:22" x14ac:dyDescent="0.45">
      <c r="A72" s="3" t="s">
        <v>222</v>
      </c>
      <c r="B72" s="3" t="s">
        <v>336</v>
      </c>
      <c r="D72" s="3">
        <v>1</v>
      </c>
      <c r="E72" s="3">
        <v>0.36</v>
      </c>
      <c r="F72" s="3">
        <v>36</v>
      </c>
      <c r="G72" s="3" t="s">
        <v>354</v>
      </c>
      <c r="I72" s="14">
        <f>IFERROR(DATE(MID(G72, FIND(",", G72)+2, 4), MATCH(LEFT(G72, 3), {"Jan","Feb","Mar","Apr","May","Jun","Jul","Aug","Sep","Oct","Nov","Dec"}, 0), MID(G72, 5, FIND(",", G72)-5)) + VALUE(MID(G72, FIND(":", G72)-2, 8)),I73)</f>
        <v>45902.62090277778</v>
      </c>
      <c r="J72" s="60" t="str" cm="1">
        <f t="array" ref="J72">IF(OR(ISNUMBER(SEARCH("C",B72)),ISNUMBER(SEARCH("P",B72))),IF(ISNUMBER(SEARCH("C",B72)),"Call","Put"),IF(AND(E72&lt;&gt;0,OR(C72="option exercised",C72="option assigned"),A72="buy"),_xlfn._xlws.FILTER(B$2:B$100,(LEFT(B$2:B$100,LEN(B72))=B72)*(LEN(B$2:B$100)&gt;LEN(B72))*(K$2:K$100=E72)*(I$2:I$100=I72)*(C$2:C$100=C72)*((C72="option assigned")*(ISNUMBER(SEARCH("P",B$2:B$100)))+(C72="option exercised")*(ISNUMBER(SEARCH("C",B$2:B$100)))),""),""))</f>
        <v>Call</v>
      </c>
      <c r="K72" s="9">
        <f t="shared" si="4"/>
        <v>0</v>
      </c>
      <c r="L72" s="5">
        <f t="shared" si="3"/>
        <v>-1</v>
      </c>
      <c r="M72" s="5">
        <f>SUMIF(B72:B$88,B72,L72:L$88)</f>
        <v>-1</v>
      </c>
      <c r="N72" s="9">
        <v>18.7072</v>
      </c>
      <c r="O72" s="10" cm="1">
        <f t="array" ref="O72">IF(F72=0,_xlfn.XLOOKUP(B72,B73:B$89,O73:O$89,0,0,1),IF(_xlfn.XLOOKUP(B72,B73:B$89,M73:M$89,1,0,1)=0,IF(M72&gt;0,(F72+H72)*N72/M72,(F72-H72)*N72/-M72),IF(M72&gt;0,IF(M72&gt;_xlfn.XLOOKUP(B72,B73:B$89,M73:M$89,0,0,1),(_xlfn.XLOOKUP(B72,B73:B$89,O73:O$89,0,0,1)*_xlfn.XLOOKUP(B72,B73:B$89,M73:M$89,0,0,1)+(F72+H72)*N72+IF(_xlfn.XLOOKUP(J72,B73:B$89,J73:J$89,0,0,1)="put",-_xlfn.XLOOKUP(J72,B73:B$89,O73:O$89,0,0,1)*L72/100,_xlfn.XLOOKUP(J72,B73:B$89,O73:O$89,0,0,1)*L72/100))/M72,_xlfn.XLOOKUP(B72,B73:B$89,O73:O$89,,0,1)),IF(M72&lt;0,IF(M72&lt;_xlfn.XLOOKUP(B72,B73:B$89,M73:M$89,0,0,1),(_xlfn.XLOOKUP(B72,B73:B$89,O73:O$89,0,0,1)*_xlfn.XLOOKUP(B72,B73:B$89,M73:M$89,0,0,1)-(F72-H72)*N72)/M72,_xlfn.XLOOKUP(B72,B73:B$89,O72:O$88,,0,1)),0))))</f>
        <v>673.45920000000001</v>
      </c>
      <c r="P72" s="10" cm="1">
        <f t="array" ref="P72">IF(_xlfn.XLOOKUP(B72,J$2:J72,J$2:J72,0,0,-1)=B72,0,IF(G72="",-H72*N72,IFERROR(IF(_xlfn.XLOOKUP(B72,B73:B$89,M73:M$89,,0,1)&lt;0,IF(M72&gt;_xlfn.XLOOKUP(B72,B73:B$89,M73:M$89,,0,1),L72*_xlfn.XLOOKUP(B72,B73:B$89,O73:O$89,,0,1)+(-F72-H72)*N72,0),IF(_xlfn.XLOOKUP(B72,B73:B$89,M73:M$89,,0,1)&gt;0,IF(M72&lt;_xlfn.XLOOKUP(B72,B73:B$89,M73:M$89,,0,1),(F72-H72)*N72-_xlfn.XLOOKUP(B72,B73:B$89,O73:O$89,,0,1)*-L72,0),0)),0)))</f>
        <v>0</v>
      </c>
      <c r="Q72" s="56">
        <v>141.197</v>
      </c>
      <c r="R72" s="56">
        <v>140.86699999999999</v>
      </c>
      <c r="S72" s="10" cm="1">
        <f t="array" ref="S72">IF(F72=0,_xlfn.XLOOKUP(B72,B73:B$89,S73:S$89,0,0,1),IF(_xlfn.XLOOKUP(B72,B73:B$89,M73:M$89,1,0,1)=0,IF(M72&gt;0,(F72+H72)*N72/M72,(F72-H72)*N72/-M72),IF(M72&gt;0,IF(M72&gt;_xlfn.XLOOKUP(B72,B73:B$89,M73:M$89,0,0,1),(_xlfn.XLOOKUP(B72,B73:B$89,S73:S$89,0,0,1)*MAX(1,Q72/_xlfn.XLOOKUP(B72,B73:B$89,Q73:Q$89,Q72,0,1))*_xlfn.XLOOKUP(B72,B73:B$89,M73:M$89,0,0,1)+(F72+H72)*N72+IF(_xlfn.XLOOKUP(J72,B73:B$89,J73:J$89,0,0,1)="put",-_xlfn.XLOOKUP(J72,B73:B$89,S73:S$89,0,0,1)*L72/100,_xlfn.XLOOKUP(J72,B73:B$89,S73:S$89,0,0,1)*L72/100))/M72,_xlfn.XLOOKUP(B72,B73:B$89,S73:S$89,,0,1)*MAX(1,Q72/_xlfn.XLOOKUP(B72,B73:B$89,Q73:Q$89,Q72,0,1))),IF(M72&lt;0,IF(M72&lt;_xlfn.XLOOKUP(B72,B73:B$89,M73:M$89,0,0,1),(_xlfn.XLOOKUP(B72,B73:B$89,S73:S$89,0,0,1)*_xlfn.XLOOKUP(B72,B73:B$89,M73:M$89,0,0,1)-(F72-H72)*N72)/M72,_xlfn.XLOOKUP(B72,B73:B$89,S73:S$89,,0,1)),0))))</f>
        <v>673.45920000000001</v>
      </c>
      <c r="T72" s="59" cm="1">
        <f t="array" ref="T72">IF(_xlfn.XLOOKUP(B72,J$2:J72,J$2:J72,0,0,-1)=B72,0,IF(G72="",-H72*N72,IFERROR(IF(_xlfn.XLOOKUP(B72,B73:B$89,M73:M$89,,0,1)&lt;0,IF(M72&gt;_xlfn.XLOOKUP(B72,B73:B$89,M73:M$89,,0,1),L72*_xlfn.XLOOKUP(B72,B73:B$89,S73:S$89,,0,1)+(-F72-H72)*N72,0),IF(_xlfn.XLOOKUP(B72,B73:B$89,M73:M$89,,0,1)&gt;0,IF(M72&lt;_xlfn.XLOOKUP(B72,B73:B$89,M73:M$89,,0,1),(F72-H72)*N72-_xlfn.XLOOKUP(B72,B73:B$89,S73:S$89,,0,1)*-L72*MAX(1,R72/_xlfn.XLOOKUP(B72,B73:B$89,Q73:Q$89,R72,0,1)),0),0)),0)))</f>
        <v>0</v>
      </c>
      <c r="U72" s="56" t="str" cm="1">
        <f t="array" ref="U72">IF(AND(OR(J72="call",J72="put"),T72&lt;&gt;0),1,IF(T72=0,"-",IF(L72&lt;0, _xlfn.LET(_xlpm.v_cant, ABS(L72), _xlpm.v_fecha, I72, _xlpm.v_ticker, B72, _xlpm.rango_f, I73:I$1000, _xlpm.rango_t, L73:L$1000, _xlpm.filtro, B73:B$1000=_xlpm.v_ticker, _xlpm.c_fechas, _xlfn._xlws.FILTER(_xlpm.rango_f, _xlpm.filtro*(_xlpm.rango_t&gt;0), _xlpm.v_fecha), _xlpm.c_cants, _xlfn._xlws.FILTER(_xlpm.rango_t, _xlpm.filtro*(_xlpm.rango_t&gt;0), 0), _xlpm.v_acums_pasadas, ABS(SUMIFS(L73:L$1000, B73:B$1000, _xlpm.v_ticker, L73:L$1000,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2" s="11"/>
    </row>
    <row r="73" spans="1:22" x14ac:dyDescent="0.45">
      <c r="A73" s="3" t="s">
        <v>224</v>
      </c>
      <c r="B73" s="3" t="s">
        <v>338</v>
      </c>
      <c r="D73" s="3">
        <v>2</v>
      </c>
      <c r="E73" s="3">
        <v>0.2</v>
      </c>
      <c r="F73" s="3">
        <v>40</v>
      </c>
      <c r="G73" s="3" t="s">
        <v>354</v>
      </c>
      <c r="I73" s="14">
        <f>IFERROR(DATE(MID(G73, FIND(",", G73)+2, 4), MATCH(LEFT(G73, 3), {"Jan","Feb","Mar","Apr","May","Jun","Jul","Aug","Sep","Oct","Nov","Dec"}, 0), MID(G73, 5, FIND(",", G73)-5)) + VALUE(MID(G73, FIND(":", G73)-2, 8)),I74)</f>
        <v>45902.62090277778</v>
      </c>
      <c r="J73" s="60" t="str" cm="1">
        <f t="array" ref="J73">IF(OR(ISNUMBER(SEARCH("C",B73)),ISNUMBER(SEARCH("P",B73))),IF(ISNUMBER(SEARCH("C",B73)),"Call","Put"),IF(AND(E73&lt;&gt;0,OR(C73="option exercised",C73="option assigned"),A73="buy"),_xlfn._xlws.FILTER(B$2:B$100,(LEFT(B$2:B$100,LEN(B73))=B73)*(LEN(B$2:B$100)&gt;LEN(B73))*(K$2:K$100=E73)*(I$2:I$100=I73)*(C$2:C$100=C73)*((C73="option assigned")*(ISNUMBER(SEARCH("P",B$2:B$100)))+(C73="option exercised")*(ISNUMBER(SEARCH("C",B$2:B$100)))),""),""))</f>
        <v>Call</v>
      </c>
      <c r="K73" s="9">
        <f t="shared" si="4"/>
        <v>0</v>
      </c>
      <c r="L73" s="5">
        <f t="shared" si="3"/>
        <v>2</v>
      </c>
      <c r="M73" s="5">
        <f>SUMIF(B73:B$88,B73,L73:L$88)</f>
        <v>2</v>
      </c>
      <c r="N73" s="9">
        <v>18.7072</v>
      </c>
      <c r="O73" s="10" cm="1">
        <f t="array" ref="O73">IF(F73=0,_xlfn.XLOOKUP(B73,B74:B$89,O74:O$89,0,0,1),IF(_xlfn.XLOOKUP(B73,B74:B$89,M74:M$89,1,0,1)=0,IF(M73&gt;0,(F73+H73)*N73/M73,(F73-H73)*N73/-M73),IF(M73&gt;0,IF(M73&gt;_xlfn.XLOOKUP(B73,B74:B$89,M74:M$89,0,0,1),(_xlfn.XLOOKUP(B73,B74:B$89,O74:O$89,0,0,1)*_xlfn.XLOOKUP(B73,B74:B$89,M74:M$89,0,0,1)+(F73+H73)*N73+IF(_xlfn.XLOOKUP(J73,B74:B$89,J74:J$89,0,0,1)="put",-_xlfn.XLOOKUP(J73,B74:B$89,O74:O$89,0,0,1)*L73/100,_xlfn.XLOOKUP(J73,B74:B$89,O74:O$89,0,0,1)*L73/100))/M73,_xlfn.XLOOKUP(B73,B74:B$89,O74:O$89,,0,1)),IF(M73&lt;0,IF(M73&lt;_xlfn.XLOOKUP(B73,B74:B$89,M74:M$89,0,0,1),(_xlfn.XLOOKUP(B73,B74:B$89,O74:O$89,0,0,1)*_xlfn.XLOOKUP(B73,B74:B$89,M74:M$89,0,0,1)-(F73-H73)*N73)/M73,_xlfn.XLOOKUP(B73,B74:B$89,O73:O$88,,0,1)),0))))</f>
        <v>374.14400000000001</v>
      </c>
      <c r="P73" s="10" cm="1">
        <f t="array" ref="P73">IF(_xlfn.XLOOKUP(B73,J$2:J73,J$2:J73,0,0,-1)=B73,0,IF(G73="",-H73*N73,IFERROR(IF(_xlfn.XLOOKUP(B73,B74:B$89,M74:M$89,,0,1)&lt;0,IF(M73&gt;_xlfn.XLOOKUP(B73,B74:B$89,M74:M$89,,0,1),L73*_xlfn.XLOOKUP(B73,B74:B$89,O74:O$89,,0,1)+(-F73-H73)*N73,0),IF(_xlfn.XLOOKUP(B73,B74:B$89,M74:M$89,,0,1)&gt;0,IF(M73&lt;_xlfn.XLOOKUP(B73,B74:B$89,M74:M$89,,0,1),(F73-H73)*N73-_xlfn.XLOOKUP(B73,B74:B$89,O74:O$89,,0,1)*-L73,0),0)),0)))</f>
        <v>0</v>
      </c>
      <c r="Q73" s="56">
        <v>141.197</v>
      </c>
      <c r="R73" s="56">
        <v>140.86699999999999</v>
      </c>
      <c r="S73" s="10" cm="1">
        <f t="array" ref="S73">IF(F73=0,_xlfn.XLOOKUP(B73,B74:B$89,S74:S$89,0,0,1),IF(_xlfn.XLOOKUP(B73,B74:B$89,M74:M$89,1,0,1)=0,IF(M73&gt;0,(F73+H73)*N73/M73,(F73-H73)*N73/-M73),IF(M73&gt;0,IF(M73&gt;_xlfn.XLOOKUP(B73,B74:B$89,M74:M$89,0,0,1),(_xlfn.XLOOKUP(B73,B74:B$89,S74:S$89,0,0,1)*MAX(1,Q73/_xlfn.XLOOKUP(B73,B74:B$89,Q74:Q$89,Q73,0,1))*_xlfn.XLOOKUP(B73,B74:B$89,M74:M$89,0,0,1)+(F73+H73)*N73+IF(_xlfn.XLOOKUP(J73,B74:B$89,J74:J$89,0,0,1)="put",-_xlfn.XLOOKUP(J73,B74:B$89,S74:S$89,0,0,1)*L73/100,_xlfn.XLOOKUP(J73,B74:B$89,S74:S$89,0,0,1)*L73/100))/M73,_xlfn.XLOOKUP(B73,B74:B$89,S74:S$89,,0,1)*MAX(1,Q73/_xlfn.XLOOKUP(B73,B74:B$89,Q74:Q$89,Q73,0,1))),IF(M73&lt;0,IF(M73&lt;_xlfn.XLOOKUP(B73,B74:B$89,M74:M$89,0,0,1),(_xlfn.XLOOKUP(B73,B74:B$89,S74:S$89,0,0,1)*_xlfn.XLOOKUP(B73,B74:B$89,M74:M$89,0,0,1)-(F73-H73)*N73)/M73,_xlfn.XLOOKUP(B73,B74:B$89,S74:S$89,,0,1)),0))))</f>
        <v>374.14400000000001</v>
      </c>
      <c r="T73" s="59" cm="1">
        <f t="array" ref="T73">IF(_xlfn.XLOOKUP(B73,J$2:J73,J$2:J73,0,0,-1)=B73,0,IF(G73="",-H73*N73,IFERROR(IF(_xlfn.XLOOKUP(B73,B74:B$89,M74:M$89,,0,1)&lt;0,IF(M73&gt;_xlfn.XLOOKUP(B73,B74:B$89,M74:M$89,,0,1),L73*_xlfn.XLOOKUP(B73,B74:B$89,S74:S$89,,0,1)+(-F73-H73)*N73,0),IF(_xlfn.XLOOKUP(B73,B74:B$89,M74:M$89,,0,1)&gt;0,IF(M73&lt;_xlfn.XLOOKUP(B73,B74:B$89,M74:M$89,,0,1),(F73-H73)*N73-_xlfn.XLOOKUP(B73,B74:B$89,S74:S$89,,0,1)*-L73*MAX(1,R73/_xlfn.XLOOKUP(B73,B74:B$89,Q74:Q$89,R73,0,1)),0),0)),0)))</f>
        <v>0</v>
      </c>
      <c r="U73" s="56" t="str" cm="1">
        <f t="array" ref="U73">IF(AND(OR(J73="call",J73="put"),T73&lt;&gt;0),1,IF(T73=0,"-",IF(L73&lt;0, _xlfn.LET(_xlpm.v_cant, ABS(L73), _xlpm.v_fecha, I73, _xlpm.v_ticker, B73, _xlpm.rango_f, I74:I$1000, _xlpm.rango_t, L74:L$1000, _xlpm.filtro, B74:B$1000=_xlpm.v_ticker, _xlpm.c_fechas, _xlfn._xlws.FILTER(_xlpm.rango_f, _xlpm.filtro*(_xlpm.rango_t&gt;0), _xlpm.v_fecha), _xlpm.c_cants, _xlfn._xlws.FILTER(_xlpm.rango_t, _xlpm.filtro*(_xlpm.rango_t&gt;0), 0), _xlpm.v_acums_pasadas, ABS(SUMIFS(L74:L$1000, B74:B$1000, _xlpm.v_ticker, L74:L$1000,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3" s="11"/>
    </row>
    <row r="74" spans="1:22" x14ac:dyDescent="0.45">
      <c r="A74" s="3" t="s">
        <v>222</v>
      </c>
      <c r="B74" s="3" t="s">
        <v>339</v>
      </c>
      <c r="D74" s="3">
        <v>1</v>
      </c>
      <c r="E74" s="3">
        <v>0.09</v>
      </c>
      <c r="F74" s="3">
        <v>9</v>
      </c>
      <c r="G74" s="3" t="s">
        <v>354</v>
      </c>
      <c r="I74" s="14">
        <f>IFERROR(DATE(MID(G74, FIND(",", G74)+2, 4), MATCH(LEFT(G74, 3), {"Jan","Feb","Mar","Apr","May","Jun","Jul","Aug","Sep","Oct","Nov","Dec"}, 0), MID(G74, 5, FIND(",", G74)-5)) + VALUE(MID(G74, FIND(":", G74)-2, 8)),I75)</f>
        <v>45902.62090277778</v>
      </c>
      <c r="J74" s="60" t="str" cm="1">
        <f t="array" ref="J74">IF(OR(ISNUMBER(SEARCH("C",B74)),ISNUMBER(SEARCH("P",B74))),IF(ISNUMBER(SEARCH("C",B74)),"Call","Put"),IF(AND(E74&lt;&gt;0,OR(C74="option exercised",C74="option assigned"),A74="buy"),_xlfn._xlws.FILTER(B$2:B$100,(LEFT(B$2:B$100,LEN(B74))=B74)*(LEN(B$2:B$100)&gt;LEN(B74))*(K$2:K$100=E74)*(I$2:I$100=I74)*(C$2:C$100=C74)*((C74="option assigned")*(ISNUMBER(SEARCH("P",B$2:B$100)))+(C74="option exercised")*(ISNUMBER(SEARCH("C",B$2:B$100)))),""),""))</f>
        <v>Call</v>
      </c>
      <c r="K74" s="9">
        <f t="shared" si="4"/>
        <v>0</v>
      </c>
      <c r="L74" s="5">
        <f t="shared" si="3"/>
        <v>-1</v>
      </c>
      <c r="M74" s="5">
        <f>SUMIF(B74:B$88,B74,L74:L$88)</f>
        <v>-1</v>
      </c>
      <c r="N74" s="9">
        <v>18.7072</v>
      </c>
      <c r="O74" s="10" cm="1">
        <f t="array" ref="O74">IF(F74=0,_xlfn.XLOOKUP(B74,B75:B$89,O75:O$89,0,0,1),IF(_xlfn.XLOOKUP(B74,B75:B$89,M75:M$89,1,0,1)=0,IF(M74&gt;0,(F74+H74)*N74/M74,(F74-H74)*N74/-M74),IF(M74&gt;0,IF(M74&gt;_xlfn.XLOOKUP(B74,B75:B$89,M75:M$89,0,0,1),(_xlfn.XLOOKUP(B74,B75:B$89,O75:O$89,0,0,1)*_xlfn.XLOOKUP(B74,B75:B$89,M75:M$89,0,0,1)+(F74+H74)*N74+IF(_xlfn.XLOOKUP(J74,B75:B$89,J75:J$89,0,0,1)="put",-_xlfn.XLOOKUP(J74,B75:B$89,O75:O$89,0,0,1)*L74/100,_xlfn.XLOOKUP(J74,B75:B$89,O75:O$89,0,0,1)*L74/100))/M74,_xlfn.XLOOKUP(B74,B75:B$89,O75:O$89,,0,1)),IF(M74&lt;0,IF(M74&lt;_xlfn.XLOOKUP(B74,B75:B$89,M75:M$89,0,0,1),(_xlfn.XLOOKUP(B74,B75:B$89,O75:O$89,0,0,1)*_xlfn.XLOOKUP(B74,B75:B$89,M75:M$89,0,0,1)-(F74-H74)*N74)/M74,_xlfn.XLOOKUP(B74,B75:B$89,O74:O$88,,0,1)),0))))</f>
        <v>168.3648</v>
      </c>
      <c r="P74" s="10" cm="1">
        <f t="array" ref="P74">IF(_xlfn.XLOOKUP(B74,J$2:J74,J$2:J74,0,0,-1)=B74,0,IF(G74="",-H74*N74,IFERROR(IF(_xlfn.XLOOKUP(B74,B75:B$89,M75:M$89,,0,1)&lt;0,IF(M74&gt;_xlfn.XLOOKUP(B74,B75:B$89,M75:M$89,,0,1),L74*_xlfn.XLOOKUP(B74,B75:B$89,O75:O$89,,0,1)+(-F74-H74)*N74,0),IF(_xlfn.XLOOKUP(B74,B75:B$89,M75:M$89,,0,1)&gt;0,IF(M74&lt;_xlfn.XLOOKUP(B74,B75:B$89,M75:M$89,,0,1),(F74-H74)*N74-_xlfn.XLOOKUP(B74,B75:B$89,O75:O$89,,0,1)*-L74,0),0)),0)))</f>
        <v>0</v>
      </c>
      <c r="Q74" s="56">
        <v>141.197</v>
      </c>
      <c r="R74" s="56">
        <v>140.86699999999999</v>
      </c>
      <c r="S74" s="10" cm="1">
        <f t="array" ref="S74">IF(F74=0,_xlfn.XLOOKUP(B74,B75:B$89,S75:S$89,0,0,1),IF(_xlfn.XLOOKUP(B74,B75:B$89,M75:M$89,1,0,1)=0,IF(M74&gt;0,(F74+H74)*N74/M74,(F74-H74)*N74/-M74),IF(M74&gt;0,IF(M74&gt;_xlfn.XLOOKUP(B74,B75:B$89,M75:M$89,0,0,1),(_xlfn.XLOOKUP(B74,B75:B$89,S75:S$89,0,0,1)*MAX(1,Q74/_xlfn.XLOOKUP(B74,B75:B$89,Q75:Q$89,Q74,0,1))*_xlfn.XLOOKUP(B74,B75:B$89,M75:M$89,0,0,1)+(F74+H74)*N74+IF(_xlfn.XLOOKUP(J74,B75:B$89,J75:J$89,0,0,1)="put",-_xlfn.XLOOKUP(J74,B75:B$89,S75:S$89,0,0,1)*L74/100,_xlfn.XLOOKUP(J74,B75:B$89,S75:S$89,0,0,1)*L74/100))/M74,_xlfn.XLOOKUP(B74,B75:B$89,S75:S$89,,0,1)*MAX(1,Q74/_xlfn.XLOOKUP(B74,B75:B$89,Q75:Q$89,Q74,0,1))),IF(M74&lt;0,IF(M74&lt;_xlfn.XLOOKUP(B74,B75:B$89,M75:M$89,0,0,1),(_xlfn.XLOOKUP(B74,B75:B$89,S75:S$89,0,0,1)*_xlfn.XLOOKUP(B74,B75:B$89,M75:M$89,0,0,1)-(F74-H74)*N74)/M74,_xlfn.XLOOKUP(B74,B75:B$89,S75:S$89,,0,1)),0))))</f>
        <v>168.3648</v>
      </c>
      <c r="T74" s="59" cm="1">
        <f t="array" ref="T74">IF(_xlfn.XLOOKUP(B74,J$2:J74,J$2:J74,0,0,-1)=B74,0,IF(G74="",-H74*N74,IFERROR(IF(_xlfn.XLOOKUP(B74,B75:B$89,M75:M$89,,0,1)&lt;0,IF(M74&gt;_xlfn.XLOOKUP(B74,B75:B$89,M75:M$89,,0,1),L74*_xlfn.XLOOKUP(B74,B75:B$89,S75:S$89,,0,1)+(-F74-H74)*N74,0),IF(_xlfn.XLOOKUP(B74,B75:B$89,M75:M$89,,0,1)&gt;0,IF(M74&lt;_xlfn.XLOOKUP(B74,B75:B$89,M75:M$89,,0,1),(F74-H74)*N74-_xlfn.XLOOKUP(B74,B75:B$89,S75:S$89,,0,1)*-L74*MAX(1,R74/_xlfn.XLOOKUP(B74,B75:B$89,Q75:Q$89,R74,0,1)),0),0)),0)))</f>
        <v>0</v>
      </c>
      <c r="U74" s="56" t="str" cm="1">
        <f t="array" ref="U74">IF(AND(OR(J74="call",J74="put"),T74&lt;&gt;0),1,IF(T74=0,"-",IF(L74&lt;0, _xlfn.LET(_xlpm.v_cant, ABS(L74), _xlpm.v_fecha, I74, _xlpm.v_ticker, B74, _xlpm.rango_f, I75:I$1000, _xlpm.rango_t, L75:L$1000, _xlpm.filtro, B75:B$1000=_xlpm.v_ticker, _xlpm.c_fechas, _xlfn._xlws.FILTER(_xlpm.rango_f, _xlpm.filtro*(_xlpm.rango_t&gt;0), _xlpm.v_fecha), _xlpm.c_cants, _xlfn._xlws.FILTER(_xlpm.rango_t, _xlpm.filtro*(_xlpm.rango_t&gt;0), 0), _xlpm.v_acums_pasadas, ABS(SUMIFS(L75:L$1000, B75:B$1000, _xlpm.v_ticker, L75:L$1000,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4" s="11"/>
    </row>
    <row r="75" spans="1:22" x14ac:dyDescent="0.45">
      <c r="A75" s="3" t="s">
        <v>222</v>
      </c>
      <c r="B75" s="3" t="s">
        <v>355</v>
      </c>
      <c r="H75" s="3">
        <v>11.98</v>
      </c>
      <c r="I75" s="14">
        <f>IFERROR(DATE(MID(G75, FIND(",", G75)+2, 4), MATCH(LEFT(G75, 3), {"Jan","Feb","Mar","Apr","May","Jun","Jul","Aug","Sep","Oct","Nov","Dec"}, 0), MID(G75, 5, FIND(",", G75)-5)) + VALUE(MID(G75, FIND(":", G75)-2, 8)),I76)</f>
        <v>45902.640763888892</v>
      </c>
      <c r="J75" s="60" t="str" cm="1">
        <f t="array" ref="J75">IF(OR(ISNUMBER(SEARCH("C",B75)),ISNUMBER(SEARCH("P",B75))),IF(ISNUMBER(SEARCH("C",B75)),"Call","Put"),IF(AND(E75&lt;&gt;0,OR(C75="option exercised",C75="option assigned"),A75="buy"),_xlfn._xlws.FILTER(B$2:B$100,(LEFT(B$2:B$100,LEN(B75))=B75)*(LEN(B$2:B$100)&gt;LEN(B75))*(K$2:K$100=E75)*(I$2:I$100=I75)*(C$2:C$100=C75)*((C75="option assigned")*(ISNUMBER(SEARCH("P",B$2:B$100)))+(C75="option exercised")*(ISNUMBER(SEARCH("C",B$2:B$100)))),""),""))</f>
        <v>Call</v>
      </c>
      <c r="K75" s="9">
        <f t="shared" si="4"/>
        <v>0</v>
      </c>
      <c r="L75" s="5">
        <f t="shared" si="3"/>
        <v>0</v>
      </c>
      <c r="M75" s="5">
        <f>SUMIF(B75:B$88,B75,L75:L$88)</f>
        <v>0</v>
      </c>
      <c r="N75" s="9">
        <v>18.7072</v>
      </c>
      <c r="O75" s="10" cm="1">
        <f t="array" ref="O75">IF(F75=0,_xlfn.XLOOKUP(B75,B76:B$89,O76:O$89,0,0,1),IF(_xlfn.XLOOKUP(B75,B76:B$89,M76:M$89,1,0,1)=0,IF(M75&gt;0,(F75+H75)*N75/M75,(F75-H75)*N75/-M75),IF(M75&gt;0,IF(M75&gt;_xlfn.XLOOKUP(B75,B76:B$89,M76:M$89,0,0,1),(_xlfn.XLOOKUP(B75,B76:B$89,O76:O$89,0,0,1)*_xlfn.XLOOKUP(B75,B76:B$89,M76:M$89,0,0,1)+(F75+H75)*N75+IF(_xlfn.XLOOKUP(J75,B76:B$89,J76:J$89,0,0,1)="put",-_xlfn.XLOOKUP(J75,B76:B$89,O76:O$89,0,0,1)*L75/100,_xlfn.XLOOKUP(J75,B76:B$89,O76:O$89,0,0,1)*L75/100))/M75,_xlfn.XLOOKUP(B75,B76:B$89,O76:O$89,,0,1)),IF(M75&lt;0,IF(M75&lt;_xlfn.XLOOKUP(B75,B76:B$89,M76:M$89,0,0,1),(_xlfn.XLOOKUP(B75,B76:B$89,O76:O$89,0,0,1)*_xlfn.XLOOKUP(B75,B76:B$89,M76:M$89,0,0,1)-(F75-H75)*N75)/M75,_xlfn.XLOOKUP(B75,B76:B$89,O75:O$88,,0,1)),0))))</f>
        <v>0</v>
      </c>
      <c r="P75" s="10" cm="1">
        <f t="array" ref="P75">IF(_xlfn.XLOOKUP(B75,J$2:J75,J$2:J75,0,0,-1)=B75,0,IF(G75="",-H75*N75,IFERROR(IF(_xlfn.XLOOKUP(B75,B76:B$89,M76:M$89,,0,1)&lt;0,IF(M75&gt;_xlfn.XLOOKUP(B75,B76:B$89,M76:M$89,,0,1),L75*_xlfn.XLOOKUP(B75,B76:B$89,O76:O$89,,0,1)+(-F75-H75)*N75,0),IF(_xlfn.XLOOKUP(B75,B76:B$89,M76:M$89,,0,1)&gt;0,IF(M75&lt;_xlfn.XLOOKUP(B75,B76:B$89,M76:M$89,,0,1),(F75-H75)*N75-_xlfn.XLOOKUP(B75,B76:B$89,O76:O$89,,0,1)*-L75,0),0)),0)))</f>
        <v>-224.112256</v>
      </c>
      <c r="Q75" s="56">
        <v>141.197</v>
      </c>
      <c r="R75" s="56">
        <v>140.86699999999999</v>
      </c>
      <c r="S75" s="10" cm="1">
        <f t="array" ref="S75">IF(F75=0,_xlfn.XLOOKUP(B75,B76:B$89,S76:S$89,0,0,1),IF(_xlfn.XLOOKUP(B75,B76:B$89,M76:M$89,1,0,1)=0,IF(M75&gt;0,(F75+H75)*N75/M75,(F75-H75)*N75/-M75),IF(M75&gt;0,IF(M75&gt;_xlfn.XLOOKUP(B75,B76:B$89,M76:M$89,0,0,1),(_xlfn.XLOOKUP(B75,B76:B$89,S76:S$89,0,0,1)*MAX(1,Q75/_xlfn.XLOOKUP(B75,B76:B$89,Q76:Q$89,Q75,0,1))*_xlfn.XLOOKUP(B75,B76:B$89,M76:M$89,0,0,1)+(F75+H75)*N75+IF(_xlfn.XLOOKUP(J75,B76:B$89,J76:J$89,0,0,1)="put",-_xlfn.XLOOKUP(J75,B76:B$89,S76:S$89,0,0,1)*L75/100,_xlfn.XLOOKUP(J75,B76:B$89,S76:S$89,0,0,1)*L75/100))/M75,_xlfn.XLOOKUP(B75,B76:B$89,S76:S$89,,0,1)*MAX(1,Q75/_xlfn.XLOOKUP(B75,B76:B$89,Q76:Q$89,Q75,0,1))),IF(M75&lt;0,IF(M75&lt;_xlfn.XLOOKUP(B75,B76:B$89,M76:M$89,0,0,1),(_xlfn.XLOOKUP(B75,B76:B$89,S76:S$89,0,0,1)*_xlfn.XLOOKUP(B75,B76:B$89,M76:M$89,0,0,1)-(F75-H75)*N75)/M75,_xlfn.XLOOKUP(B75,B76:B$89,S76:S$89,,0,1)),0))))</f>
        <v>0</v>
      </c>
      <c r="T75" s="59" cm="1">
        <f t="array" ref="T75">IF(_xlfn.XLOOKUP(B75,J$2:J75,J$2:J75,0,0,-1)=B75,0,IF(G75="",-H75*N75,IFERROR(IF(_xlfn.XLOOKUP(B75,B76:B$89,M76:M$89,,0,1)&lt;0,IF(M75&gt;_xlfn.XLOOKUP(B75,B76:B$89,M76:M$89,,0,1),L75*_xlfn.XLOOKUP(B75,B76:B$89,S76:S$89,,0,1)+(-F75-H75)*N75,0),IF(_xlfn.XLOOKUP(B75,B76:B$89,M76:M$89,,0,1)&gt;0,IF(M75&lt;_xlfn.XLOOKUP(B75,B76:B$89,M76:M$89,,0,1),(F75-H75)*N75-_xlfn.XLOOKUP(B75,B76:B$89,S76:S$89,,0,1)*-L75*MAX(1,R75/_xlfn.XLOOKUP(B75,B76:B$89,Q76:Q$89,R75,0,1)),0),0)),0)))</f>
        <v>-224.112256</v>
      </c>
      <c r="U75" s="56" cm="1">
        <f t="array" ref="U75">IF(AND(OR(J75="call",J75="put"),T75&lt;&gt;0),1,IF(T75=0,"-",IF(L75&lt;0, _xlfn.LET(_xlpm.v_cant, ABS(L75), _xlpm.v_fecha, I75, _xlpm.v_ticker, B75, _xlpm.rango_f, I76:I$1000, _xlpm.rango_t, L76:L$1000, _xlpm.filtro, B76:B$1000=_xlpm.v_ticker, _xlpm.c_fechas, _xlfn._xlws.FILTER(_xlpm.rango_f, _xlpm.filtro*(_xlpm.rango_t&gt;0), _xlpm.v_fecha), _xlpm.c_cants, _xlfn._xlws.FILTER(_xlpm.rango_t, _xlpm.filtro*(_xlpm.rango_t&gt;0), 0), _xlpm.v_acums_pasadas, ABS(SUMIFS(L76:L$1000, B76:B$1000, _xlpm.v_ticker, L76:L$1000,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75" s="11"/>
    </row>
    <row r="76" spans="1:22" x14ac:dyDescent="0.45">
      <c r="A76" s="3" t="s">
        <v>224</v>
      </c>
      <c r="B76" s="3" t="s">
        <v>313</v>
      </c>
      <c r="D76" s="3">
        <v>1</v>
      </c>
      <c r="E76" s="3">
        <v>0.46</v>
      </c>
      <c r="F76" s="3">
        <v>46</v>
      </c>
      <c r="G76" s="3" t="s">
        <v>356</v>
      </c>
      <c r="I76" s="14">
        <f>IFERROR(DATE(MID(G76, FIND(",", G76)+2, 4), MATCH(LEFT(G76, 3), {"Jan","Feb","Mar","Apr","May","Jun","Jul","Aug","Sep","Oct","Nov","Dec"}, 0), MID(G76, 5, FIND(",", G76)-5)) + VALUE(MID(G76, FIND(":", G76)-2, 8)),I77)</f>
        <v>45902.640763888892</v>
      </c>
      <c r="J76" s="60" t="str" cm="1">
        <f t="array" ref="J76">IF(OR(ISNUMBER(SEARCH("C",B76)),ISNUMBER(SEARCH("P",B76))),IF(ISNUMBER(SEARCH("C",B76)),"Call","Put"),IF(AND(E76&lt;&gt;0,OR(C76="option exercised",C76="option assigned"),A76="buy"),_xlfn._xlws.FILTER(B$2:B$100,(LEFT(B$2:B$100,LEN(B76))=B76)*(LEN(B$2:B$100)&gt;LEN(B76))*(K$2:K$100=E76)*(I$2:I$100=I76)*(C$2:C$100=C76)*((C76="option assigned")*(ISNUMBER(SEARCH("P",B$2:B$100)))+(C76="option exercised")*(ISNUMBER(SEARCH("C",B$2:B$100)))),""),""))</f>
        <v>Call</v>
      </c>
      <c r="K76" s="9">
        <f t="shared" si="4"/>
        <v>0</v>
      </c>
      <c r="L76" s="5">
        <f t="shared" si="3"/>
        <v>1</v>
      </c>
      <c r="M76" s="5">
        <f>SUMIF(B76:B$88,B76,L76:L$88)</f>
        <v>1</v>
      </c>
      <c r="N76" s="9">
        <v>18.7072</v>
      </c>
      <c r="O76" s="10" cm="1">
        <f t="array" ref="O76">IF(F76=0,_xlfn.XLOOKUP(B76,B77:B$89,O77:O$89,0,0,1),IF(_xlfn.XLOOKUP(B76,B77:B$89,M77:M$89,1,0,1)=0,IF(M76&gt;0,(F76+H76)*N76/M76,(F76-H76)*N76/-M76),IF(M76&gt;0,IF(M76&gt;_xlfn.XLOOKUP(B76,B77:B$89,M77:M$89,0,0,1),(_xlfn.XLOOKUP(B76,B77:B$89,O77:O$89,0,0,1)*_xlfn.XLOOKUP(B76,B77:B$89,M77:M$89,0,0,1)+(F76+H76)*N76+IF(_xlfn.XLOOKUP(J76,B77:B$89,J77:J$89,0,0,1)="put",-_xlfn.XLOOKUP(J76,B77:B$89,O77:O$89,0,0,1)*L76/100,_xlfn.XLOOKUP(J76,B77:B$89,O77:O$89,0,0,1)*L76/100))/M76,_xlfn.XLOOKUP(B76,B77:B$89,O77:O$89,,0,1)),IF(M76&lt;0,IF(M76&lt;_xlfn.XLOOKUP(B76,B77:B$89,M77:M$89,0,0,1),(_xlfn.XLOOKUP(B76,B77:B$89,O77:O$89,0,0,1)*_xlfn.XLOOKUP(B76,B77:B$89,M77:M$89,0,0,1)-(F76-H76)*N76)/M76,_xlfn.XLOOKUP(B76,B77:B$89,O76:O$88,,0,1)),0))))</f>
        <v>860.53120000000001</v>
      </c>
      <c r="P76" s="10" cm="1">
        <f t="array" ref="P76">IF(_xlfn.XLOOKUP(B76,J$2:J76,J$2:J76,0,0,-1)=B76,0,IF(G76="",-H76*N76,IFERROR(IF(_xlfn.XLOOKUP(B76,B77:B$89,M77:M$89,,0,1)&lt;0,IF(M76&gt;_xlfn.XLOOKUP(B76,B77:B$89,M77:M$89,,0,1),L76*_xlfn.XLOOKUP(B76,B77:B$89,O77:O$89,,0,1)+(-F76-H76)*N76,0),IF(_xlfn.XLOOKUP(B76,B77:B$89,M77:M$89,,0,1)&gt;0,IF(M76&lt;_xlfn.XLOOKUP(B76,B77:B$89,M77:M$89,,0,1),(F76-H76)*N76-_xlfn.XLOOKUP(B76,B77:B$89,O77:O$89,,0,1)*-L76,0),0)),0)))</f>
        <v>0</v>
      </c>
      <c r="Q76" s="56">
        <v>141.197</v>
      </c>
      <c r="R76" s="56">
        <v>140.86699999999999</v>
      </c>
      <c r="S76" s="10" cm="1">
        <f t="array" ref="S76">IF(F76=0,_xlfn.XLOOKUP(B76,B77:B$89,S77:S$89,0,0,1),IF(_xlfn.XLOOKUP(B76,B77:B$89,M77:M$89,1,0,1)=0,IF(M76&gt;0,(F76+H76)*N76/M76,(F76-H76)*N76/-M76),IF(M76&gt;0,IF(M76&gt;_xlfn.XLOOKUP(B76,B77:B$89,M77:M$89,0,0,1),(_xlfn.XLOOKUP(B76,B77:B$89,S77:S$89,0,0,1)*MAX(1,Q76/_xlfn.XLOOKUP(B76,B77:B$89,Q77:Q$89,Q76,0,1))*_xlfn.XLOOKUP(B76,B77:B$89,M77:M$89,0,0,1)+(F76+H76)*N76+IF(_xlfn.XLOOKUP(J76,B77:B$89,J77:J$89,0,0,1)="put",-_xlfn.XLOOKUP(J76,B77:B$89,S77:S$89,0,0,1)*L76/100,_xlfn.XLOOKUP(J76,B77:B$89,S77:S$89,0,0,1)*L76/100))/M76,_xlfn.XLOOKUP(B76,B77:B$89,S77:S$89,,0,1)*MAX(1,Q76/_xlfn.XLOOKUP(B76,B77:B$89,Q77:Q$89,Q76,0,1))),IF(M76&lt;0,IF(M76&lt;_xlfn.XLOOKUP(B76,B77:B$89,M77:M$89,0,0,1),(_xlfn.XLOOKUP(B76,B77:B$89,S77:S$89,0,0,1)*_xlfn.XLOOKUP(B76,B77:B$89,M77:M$89,0,0,1)-(F76-H76)*N76)/M76,_xlfn.XLOOKUP(B76,B77:B$89,S77:S$89,,0,1)),0))))</f>
        <v>860.53120000000001</v>
      </c>
      <c r="T76" s="59" cm="1">
        <f t="array" ref="T76">IF(_xlfn.XLOOKUP(B76,J$2:J76,J$2:J76,0,0,-1)=B76,0,IF(G76="",-H76*N76,IFERROR(IF(_xlfn.XLOOKUP(B76,B77:B$89,M77:M$89,,0,1)&lt;0,IF(M76&gt;_xlfn.XLOOKUP(B76,B77:B$89,M77:M$89,,0,1),L76*_xlfn.XLOOKUP(B76,B77:B$89,S77:S$89,,0,1)+(-F76-H76)*N76,0),IF(_xlfn.XLOOKUP(B76,B77:B$89,M77:M$89,,0,1)&gt;0,IF(M76&lt;_xlfn.XLOOKUP(B76,B77:B$89,M77:M$89,,0,1),(F76-H76)*N76-_xlfn.XLOOKUP(B76,B77:B$89,S77:S$89,,0,1)*-L76*MAX(1,R76/_xlfn.XLOOKUP(B76,B77:B$89,Q77:Q$89,R76,0,1)),0),0)),0)))</f>
        <v>0</v>
      </c>
      <c r="U76" s="56" t="str" cm="1">
        <f t="array" ref="U76">IF(AND(OR(J76="call",J76="put"),T76&lt;&gt;0),1,IF(T76=0,"-",IF(L76&lt;0, _xlfn.LET(_xlpm.v_cant, ABS(L76), _xlpm.v_fecha, I76, _xlpm.v_ticker, B76, _xlpm.rango_f, I77:I$1000, _xlpm.rango_t, L77:L$1000, _xlpm.filtro, B77:B$1000=_xlpm.v_ticker, _xlpm.c_fechas, _xlfn._xlws.FILTER(_xlpm.rango_f, _xlpm.filtro*(_xlpm.rango_t&gt;0), _xlpm.v_fecha), _xlpm.c_cants, _xlfn._xlws.FILTER(_xlpm.rango_t, _xlpm.filtro*(_xlpm.rango_t&gt;0), 0), _xlpm.v_acums_pasadas, ABS(SUMIFS(L77:L$1000, B77:B$1000, _xlpm.v_ticker, L77:L$1000,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6" s="11"/>
    </row>
    <row r="77" spans="1:22" x14ac:dyDescent="0.45">
      <c r="A77" s="3" t="s">
        <v>222</v>
      </c>
      <c r="B77" s="3" t="s">
        <v>312</v>
      </c>
      <c r="D77" s="3">
        <v>1</v>
      </c>
      <c r="E77" s="3">
        <v>0.83</v>
      </c>
      <c r="F77" s="3">
        <v>83</v>
      </c>
      <c r="G77" s="3" t="s">
        <v>356</v>
      </c>
      <c r="I77" s="14">
        <f>IFERROR(DATE(MID(G77, FIND(",", G77)+2, 4), MATCH(LEFT(G77, 3), {"Jan","Feb","Mar","Apr","May","Jun","Jul","Aug","Sep","Oct","Nov","Dec"}, 0), MID(G77, 5, FIND(",", G77)-5)) + VALUE(MID(G77, FIND(":", G77)-2, 8)),I78)</f>
        <v>45902.640763888892</v>
      </c>
      <c r="J77" s="60" t="str" cm="1">
        <f t="array" ref="J77">IF(OR(ISNUMBER(SEARCH("C",B77)),ISNUMBER(SEARCH("P",B77))),IF(ISNUMBER(SEARCH("C",B77)),"Call","Put"),IF(AND(E77&lt;&gt;0,OR(C77="option exercised",C77="option assigned"),A77="buy"),_xlfn._xlws.FILTER(B$2:B$100,(LEFT(B$2:B$100,LEN(B77))=B77)*(LEN(B$2:B$100)&gt;LEN(B77))*(K$2:K$100=E77)*(I$2:I$100=I77)*(C$2:C$100=C77)*((C77="option assigned")*(ISNUMBER(SEARCH("P",B$2:B$100)))+(C77="option exercised")*(ISNUMBER(SEARCH("C",B$2:B$100)))),""),""))</f>
        <v>Call</v>
      </c>
      <c r="K77" s="9">
        <f t="shared" si="4"/>
        <v>0</v>
      </c>
      <c r="L77" s="5">
        <f t="shared" si="3"/>
        <v>-1</v>
      </c>
      <c r="M77" s="5">
        <f>SUMIF(B77:B$88,B77,L77:L$88)</f>
        <v>-1</v>
      </c>
      <c r="N77" s="9">
        <v>18.7072</v>
      </c>
      <c r="O77" s="10" cm="1">
        <f t="array" ref="O77">IF(F77=0,_xlfn.XLOOKUP(B77,B78:B$89,O78:O$89,0,0,1),IF(_xlfn.XLOOKUP(B77,B78:B$89,M78:M$89,1,0,1)=0,IF(M77&gt;0,(F77+H77)*N77/M77,(F77-H77)*N77/-M77),IF(M77&gt;0,IF(M77&gt;_xlfn.XLOOKUP(B77,B78:B$89,M78:M$89,0,0,1),(_xlfn.XLOOKUP(B77,B78:B$89,O78:O$89,0,0,1)*_xlfn.XLOOKUP(B77,B78:B$89,M78:M$89,0,0,1)+(F77+H77)*N77+IF(_xlfn.XLOOKUP(J77,B78:B$89,J78:J$89,0,0,1)="put",-_xlfn.XLOOKUP(J77,B78:B$89,O78:O$89,0,0,1)*L77/100,_xlfn.XLOOKUP(J77,B78:B$89,O78:O$89,0,0,1)*L77/100))/M77,_xlfn.XLOOKUP(B77,B78:B$89,O78:O$89,,0,1)),IF(M77&lt;0,IF(M77&lt;_xlfn.XLOOKUP(B77,B78:B$89,M78:M$89,0,0,1),(_xlfn.XLOOKUP(B77,B78:B$89,O78:O$89,0,0,1)*_xlfn.XLOOKUP(B77,B78:B$89,M78:M$89,0,0,1)-(F77-H77)*N77)/M77,_xlfn.XLOOKUP(B77,B78:B$89,O77:O$88,,0,1)),0))))</f>
        <v>1552.6976</v>
      </c>
      <c r="P77" s="10" cm="1">
        <f t="array" ref="P77">IF(_xlfn.XLOOKUP(B77,J$2:J77,J$2:J77,0,0,-1)=B77,0,IF(G77="",-H77*N77,IFERROR(IF(_xlfn.XLOOKUP(B77,B78:B$89,M78:M$89,,0,1)&lt;0,IF(M77&gt;_xlfn.XLOOKUP(B77,B78:B$89,M78:M$89,,0,1),L77*_xlfn.XLOOKUP(B77,B78:B$89,O78:O$89,,0,1)+(-F77-H77)*N77,0),IF(_xlfn.XLOOKUP(B77,B78:B$89,M78:M$89,,0,1)&gt;0,IF(M77&lt;_xlfn.XLOOKUP(B77,B78:B$89,M78:M$89,,0,1),(F77-H77)*N77-_xlfn.XLOOKUP(B77,B78:B$89,O78:O$89,,0,1)*-L77,0),0)),0)))</f>
        <v>0</v>
      </c>
      <c r="Q77" s="56">
        <v>141.197</v>
      </c>
      <c r="R77" s="56">
        <v>140.86699999999999</v>
      </c>
      <c r="S77" s="10" cm="1">
        <f t="array" ref="S77">IF(F77=0,_xlfn.XLOOKUP(B77,B78:B$89,S78:S$89,0,0,1),IF(_xlfn.XLOOKUP(B77,B78:B$89,M78:M$89,1,0,1)=0,IF(M77&gt;0,(F77+H77)*N77/M77,(F77-H77)*N77/-M77),IF(M77&gt;0,IF(M77&gt;_xlfn.XLOOKUP(B77,B78:B$89,M78:M$89,0,0,1),(_xlfn.XLOOKUP(B77,B78:B$89,S78:S$89,0,0,1)*MAX(1,Q77/_xlfn.XLOOKUP(B77,B78:B$89,Q78:Q$89,Q77,0,1))*_xlfn.XLOOKUP(B77,B78:B$89,M78:M$89,0,0,1)+(F77+H77)*N77+IF(_xlfn.XLOOKUP(J77,B78:B$89,J78:J$89,0,0,1)="put",-_xlfn.XLOOKUP(J77,B78:B$89,S78:S$89,0,0,1)*L77/100,_xlfn.XLOOKUP(J77,B78:B$89,S78:S$89,0,0,1)*L77/100))/M77,_xlfn.XLOOKUP(B77,B78:B$89,S78:S$89,,0,1)*MAX(1,Q77/_xlfn.XLOOKUP(B77,B78:B$89,Q78:Q$89,Q77,0,1))),IF(M77&lt;0,IF(M77&lt;_xlfn.XLOOKUP(B77,B78:B$89,M78:M$89,0,0,1),(_xlfn.XLOOKUP(B77,B78:B$89,S78:S$89,0,0,1)*_xlfn.XLOOKUP(B77,B78:B$89,M78:M$89,0,0,1)-(F77-H77)*N77)/M77,_xlfn.XLOOKUP(B77,B78:B$89,S78:S$89,,0,1)),0))))</f>
        <v>1552.6976</v>
      </c>
      <c r="T77" s="59" cm="1">
        <f t="array" ref="T77">IF(_xlfn.XLOOKUP(B77,J$2:J77,J$2:J77,0,0,-1)=B77,0,IF(G77="",-H77*N77,IFERROR(IF(_xlfn.XLOOKUP(B77,B78:B$89,M78:M$89,,0,1)&lt;0,IF(M77&gt;_xlfn.XLOOKUP(B77,B78:B$89,M78:M$89,,0,1),L77*_xlfn.XLOOKUP(B77,B78:B$89,S78:S$89,,0,1)+(-F77-H77)*N77,0),IF(_xlfn.XLOOKUP(B77,B78:B$89,M78:M$89,,0,1)&gt;0,IF(M77&lt;_xlfn.XLOOKUP(B77,B78:B$89,M78:M$89,,0,1),(F77-H77)*N77-_xlfn.XLOOKUP(B77,B78:B$89,S78:S$89,,0,1)*-L77*MAX(1,R77/_xlfn.XLOOKUP(B77,B78:B$89,Q78:Q$89,R77,0,1)),0),0)),0)))</f>
        <v>0</v>
      </c>
      <c r="U77" s="56" t="str" cm="1">
        <f t="array" ref="U77">IF(AND(OR(J77="call",J77="put"),T77&lt;&gt;0),1,IF(T77=0,"-",IF(L77&lt;0, _xlfn.LET(_xlpm.v_cant, ABS(L77), _xlpm.v_fecha, I77, _xlpm.v_ticker, B77, _xlpm.rango_f, I78:I$1000, _xlpm.rango_t, L78:L$1000, _xlpm.filtro, B78:B$1000=_xlpm.v_ticker, _xlpm.c_fechas, _xlfn._xlws.FILTER(_xlpm.rango_f, _xlpm.filtro*(_xlpm.rango_t&gt;0), _xlpm.v_fecha), _xlpm.c_cants, _xlfn._xlws.FILTER(_xlpm.rango_t, _xlpm.filtro*(_xlpm.rango_t&gt;0), 0), _xlpm.v_acums_pasadas, ABS(SUMIFS(L78:L$1000, B78:B$1000, _xlpm.v_ticker, L78:L$1000,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7" s="11"/>
    </row>
    <row r="78" spans="1:22" x14ac:dyDescent="0.45">
      <c r="A78" s="3" t="s">
        <v>222</v>
      </c>
      <c r="B78" s="3" t="s">
        <v>310</v>
      </c>
      <c r="D78" s="3">
        <v>1</v>
      </c>
      <c r="E78" s="3">
        <v>1.18</v>
      </c>
      <c r="F78" s="3">
        <v>118</v>
      </c>
      <c r="G78" s="3" t="s">
        <v>356</v>
      </c>
      <c r="I78" s="14">
        <f>IFERROR(DATE(MID(G78, FIND(",", G78)+2, 4), MATCH(LEFT(G78, 3), {"Jan","Feb","Mar","Apr","May","Jun","Jul","Aug","Sep","Oct","Nov","Dec"}, 0), MID(G78, 5, FIND(",", G78)-5)) + VALUE(MID(G78, FIND(":", G78)-2, 8)),I79)</f>
        <v>45902.640763888892</v>
      </c>
      <c r="J78" s="60" t="str" cm="1">
        <f t="array" ref="J78">IF(OR(ISNUMBER(SEARCH("C",B78)),ISNUMBER(SEARCH("P",B78))),IF(ISNUMBER(SEARCH("C",B78)),"Call","Put"),IF(AND(E78&lt;&gt;0,OR(C78="option exercised",C78="option assigned"),A78="buy"),_xlfn._xlws.FILTER(B$2:B$100,(LEFT(B$2:B$100,LEN(B78))=B78)*(LEN(B$2:B$100)&gt;LEN(B78))*(K$2:K$100=E78)*(I$2:I$100=I78)*(C$2:C$100=C78)*((C78="option assigned")*(ISNUMBER(SEARCH("P",B$2:B$100)))+(C78="option exercised")*(ISNUMBER(SEARCH("C",B$2:B$100)))),""),""))</f>
        <v>Call</v>
      </c>
      <c r="K78" s="9">
        <f t="shared" si="4"/>
        <v>0</v>
      </c>
      <c r="L78" s="5">
        <f t="shared" si="3"/>
        <v>-1</v>
      </c>
      <c r="M78" s="5">
        <f>SUMIF(B78:B$88,B78,L78:L$88)</f>
        <v>-1</v>
      </c>
      <c r="N78" s="9">
        <v>18.7072</v>
      </c>
      <c r="O78" s="10" cm="1">
        <f t="array" ref="O78">IF(F78=0,_xlfn.XLOOKUP(B78,B79:B$89,O79:O$89,0,0,1),IF(_xlfn.XLOOKUP(B78,B79:B$89,M79:M$89,1,0,1)=0,IF(M78&gt;0,(F78+H78)*N78/M78,(F78-H78)*N78/-M78),IF(M78&gt;0,IF(M78&gt;_xlfn.XLOOKUP(B78,B79:B$89,M79:M$89,0,0,1),(_xlfn.XLOOKUP(B78,B79:B$89,O79:O$89,0,0,1)*_xlfn.XLOOKUP(B78,B79:B$89,M79:M$89,0,0,1)+(F78+H78)*N78+IF(_xlfn.XLOOKUP(J78,B79:B$89,J79:J$89,0,0,1)="put",-_xlfn.XLOOKUP(J78,B79:B$89,O79:O$89,0,0,1)*L78/100,_xlfn.XLOOKUP(J78,B79:B$89,O79:O$89,0,0,1)*L78/100))/M78,_xlfn.XLOOKUP(B78,B79:B$89,O79:O$89,,0,1)),IF(M78&lt;0,IF(M78&lt;_xlfn.XLOOKUP(B78,B79:B$89,M79:M$89,0,0,1),(_xlfn.XLOOKUP(B78,B79:B$89,O79:O$89,0,0,1)*_xlfn.XLOOKUP(B78,B79:B$89,M79:M$89,0,0,1)-(F78-H78)*N78)/M78,_xlfn.XLOOKUP(B78,B79:B$89,O78:O$88,,0,1)),0))))</f>
        <v>2207.4495999999999</v>
      </c>
      <c r="P78" s="10" cm="1">
        <f t="array" ref="P78">IF(_xlfn.XLOOKUP(B78,J$2:J78,J$2:J78,0,0,-1)=B78,0,IF(G78="",-H78*N78,IFERROR(IF(_xlfn.XLOOKUP(B78,B79:B$89,M79:M$89,,0,1)&lt;0,IF(M78&gt;_xlfn.XLOOKUP(B78,B79:B$89,M79:M$89,,0,1),L78*_xlfn.XLOOKUP(B78,B79:B$89,O79:O$89,,0,1)+(-F78-H78)*N78,0),IF(_xlfn.XLOOKUP(B78,B79:B$89,M79:M$89,,0,1)&gt;0,IF(M78&lt;_xlfn.XLOOKUP(B78,B79:B$89,M79:M$89,,0,1),(F78-H78)*N78-_xlfn.XLOOKUP(B78,B79:B$89,O79:O$89,,0,1)*-L78,0),0)),0)))</f>
        <v>0</v>
      </c>
      <c r="Q78" s="56">
        <v>141.197</v>
      </c>
      <c r="R78" s="56">
        <v>140.86699999999999</v>
      </c>
      <c r="S78" s="10" cm="1">
        <f t="array" ref="S78">IF(F78=0,_xlfn.XLOOKUP(B78,B79:B$89,S79:S$89,0,0,1),IF(_xlfn.XLOOKUP(B78,B79:B$89,M79:M$89,1,0,1)=0,IF(M78&gt;0,(F78+H78)*N78/M78,(F78-H78)*N78/-M78),IF(M78&gt;0,IF(M78&gt;_xlfn.XLOOKUP(B78,B79:B$89,M79:M$89,0,0,1),(_xlfn.XLOOKUP(B78,B79:B$89,S79:S$89,0,0,1)*MAX(1,Q78/_xlfn.XLOOKUP(B78,B79:B$89,Q79:Q$89,Q78,0,1))*_xlfn.XLOOKUP(B78,B79:B$89,M79:M$89,0,0,1)+(F78+H78)*N78+IF(_xlfn.XLOOKUP(J78,B79:B$89,J79:J$89,0,0,1)="put",-_xlfn.XLOOKUP(J78,B79:B$89,S79:S$89,0,0,1)*L78/100,_xlfn.XLOOKUP(J78,B79:B$89,S79:S$89,0,0,1)*L78/100))/M78,_xlfn.XLOOKUP(B78,B79:B$89,S79:S$89,,0,1)*MAX(1,Q78/_xlfn.XLOOKUP(B78,B79:B$89,Q79:Q$89,Q78,0,1))),IF(M78&lt;0,IF(M78&lt;_xlfn.XLOOKUP(B78,B79:B$89,M79:M$89,0,0,1),(_xlfn.XLOOKUP(B78,B79:B$89,S79:S$89,0,0,1)*_xlfn.XLOOKUP(B78,B79:B$89,M79:M$89,0,0,1)-(F78-H78)*N78)/M78,_xlfn.XLOOKUP(B78,B79:B$89,S79:S$89,,0,1)),0))))</f>
        <v>2207.4495999999999</v>
      </c>
      <c r="T78" s="59" cm="1">
        <f t="array" ref="T78">IF(_xlfn.XLOOKUP(B78,J$2:J78,J$2:J78,0,0,-1)=B78,0,IF(G78="",-H78*N78,IFERROR(IF(_xlfn.XLOOKUP(B78,B79:B$89,M79:M$89,,0,1)&lt;0,IF(M78&gt;_xlfn.XLOOKUP(B78,B79:B$89,M79:M$89,,0,1),L78*_xlfn.XLOOKUP(B78,B79:B$89,S79:S$89,,0,1)+(-F78-H78)*N78,0),IF(_xlfn.XLOOKUP(B78,B79:B$89,M79:M$89,,0,1)&gt;0,IF(M78&lt;_xlfn.XLOOKUP(B78,B79:B$89,M79:M$89,,0,1),(F78-H78)*N78-_xlfn.XLOOKUP(B78,B79:B$89,S79:S$89,,0,1)*-L78*MAX(1,R78/_xlfn.XLOOKUP(B78,B79:B$89,Q79:Q$89,R78,0,1)),0),0)),0)))</f>
        <v>0</v>
      </c>
      <c r="U78" s="56" t="str" cm="1">
        <f t="array" ref="U78">IF(AND(OR(J78="call",J78="put"),T78&lt;&gt;0),1,IF(T78=0,"-",IF(L78&lt;0, _xlfn.LET(_xlpm.v_cant, ABS(L78), _xlpm.v_fecha, I78, _xlpm.v_ticker, B78, _xlpm.rango_f, I79:I$1000, _xlpm.rango_t, L79:L$1000, _xlpm.filtro, B79:B$1000=_xlpm.v_ticker, _xlpm.c_fechas, _xlfn._xlws.FILTER(_xlpm.rango_f, _xlpm.filtro*(_xlpm.rango_t&gt;0), _xlpm.v_fecha), _xlpm.c_cants, _xlfn._xlws.FILTER(_xlpm.rango_t, _xlpm.filtro*(_xlpm.rango_t&gt;0), 0), _xlpm.v_acums_pasadas, ABS(SUMIFS(L79:L$1000, B79:B$1000, _xlpm.v_ticker, L79:L$1000,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8" s="11"/>
    </row>
    <row r="79" spans="1:22" x14ac:dyDescent="0.45">
      <c r="A79" s="3" t="s">
        <v>224</v>
      </c>
      <c r="B79" s="3" t="s">
        <v>311</v>
      </c>
      <c r="D79" s="3">
        <v>1</v>
      </c>
      <c r="E79" s="3">
        <v>0.73</v>
      </c>
      <c r="F79" s="3">
        <v>73</v>
      </c>
      <c r="G79" s="3" t="s">
        <v>356</v>
      </c>
      <c r="I79" s="14">
        <f>IFERROR(DATE(MID(G79, FIND(",", G79)+2, 4), MATCH(LEFT(G79, 3), {"Jan","Feb","Mar","Apr","May","Jun","Jul","Aug","Sep","Oct","Nov","Dec"}, 0), MID(G79, 5, FIND(",", G79)-5)) + VALUE(MID(G79, FIND(":", G79)-2, 8)),I80)</f>
        <v>45902.640763888892</v>
      </c>
      <c r="J79" s="60" t="str" cm="1">
        <f t="array" ref="J79">IF(OR(ISNUMBER(SEARCH("C",B79)),ISNUMBER(SEARCH("P",B79))),IF(ISNUMBER(SEARCH("C",B79)),"Call","Put"),IF(AND(E79&lt;&gt;0,OR(C79="option exercised",C79="option assigned"),A79="buy"),_xlfn._xlws.FILTER(B$2:B$100,(LEFT(B$2:B$100,LEN(B79))=B79)*(LEN(B$2:B$100)&gt;LEN(B79))*(K$2:K$100=E79)*(I$2:I$100=I79)*(C$2:C$100=C79)*((C79="option assigned")*(ISNUMBER(SEARCH("P",B$2:B$100)))+(C79="option exercised")*(ISNUMBER(SEARCH("C",B$2:B$100)))),""),""))</f>
        <v>Call</v>
      </c>
      <c r="K79" s="9">
        <f t="shared" si="4"/>
        <v>0</v>
      </c>
      <c r="L79" s="5">
        <f t="shared" si="3"/>
        <v>1</v>
      </c>
      <c r="M79" s="5">
        <f>SUMIF(B79:B$88,B79,L79:L$88)</f>
        <v>1</v>
      </c>
      <c r="N79" s="9">
        <v>18.7072</v>
      </c>
      <c r="O79" s="10" cm="1">
        <f t="array" ref="O79">IF(F79=0,_xlfn.XLOOKUP(B79,B80:B$89,O80:O$89,0,0,1),IF(_xlfn.XLOOKUP(B79,B80:B$89,M80:M$89,1,0,1)=0,IF(M79&gt;0,(F79+H79)*N79/M79,(F79-H79)*N79/-M79),IF(M79&gt;0,IF(M79&gt;_xlfn.XLOOKUP(B79,B80:B$89,M80:M$89,0,0,1),(_xlfn.XLOOKUP(B79,B80:B$89,O80:O$89,0,0,1)*_xlfn.XLOOKUP(B79,B80:B$89,M80:M$89,0,0,1)+(F79+H79)*N79+IF(_xlfn.XLOOKUP(J79,B80:B$89,J80:J$89,0,0,1)="put",-_xlfn.XLOOKUP(J79,B80:B$89,O80:O$89,0,0,1)*L79/100,_xlfn.XLOOKUP(J79,B80:B$89,O80:O$89,0,0,1)*L79/100))/M79,_xlfn.XLOOKUP(B79,B80:B$89,O80:O$89,,0,1)),IF(M79&lt;0,IF(M79&lt;_xlfn.XLOOKUP(B79,B80:B$89,M80:M$89,0,0,1),(_xlfn.XLOOKUP(B79,B80:B$89,O80:O$89,0,0,1)*_xlfn.XLOOKUP(B79,B80:B$89,M80:M$89,0,0,1)-(F79-H79)*N79)/M79,_xlfn.XLOOKUP(B79,B80:B$89,O79:O$88,,0,1)),0))))</f>
        <v>1365.6256000000001</v>
      </c>
      <c r="P79" s="10" cm="1">
        <f t="array" ref="P79">IF(_xlfn.XLOOKUP(B79,J$2:J79,J$2:J79,0,0,-1)=B79,0,IF(G79="",-H79*N79,IFERROR(IF(_xlfn.XLOOKUP(B79,B80:B$89,M80:M$89,,0,1)&lt;0,IF(M79&gt;_xlfn.XLOOKUP(B79,B80:B$89,M80:M$89,,0,1),L79*_xlfn.XLOOKUP(B79,B80:B$89,O80:O$89,,0,1)+(-F79-H79)*N79,0),IF(_xlfn.XLOOKUP(B79,B80:B$89,M80:M$89,,0,1)&gt;0,IF(M79&lt;_xlfn.XLOOKUP(B79,B80:B$89,M80:M$89,,0,1),(F79-H79)*N79-_xlfn.XLOOKUP(B79,B80:B$89,O80:O$89,,0,1)*-L79,0),0)),0)))</f>
        <v>0</v>
      </c>
      <c r="Q79" s="56">
        <v>141.197</v>
      </c>
      <c r="R79" s="56">
        <v>140.86699999999999</v>
      </c>
      <c r="S79" s="10" cm="1">
        <f t="array" ref="S79">IF(F79=0,_xlfn.XLOOKUP(B79,B80:B$89,S80:S$89,0,0,1),IF(_xlfn.XLOOKUP(B79,B80:B$89,M80:M$89,1,0,1)=0,IF(M79&gt;0,(F79+H79)*N79/M79,(F79-H79)*N79/-M79),IF(M79&gt;0,IF(M79&gt;_xlfn.XLOOKUP(B79,B80:B$89,M80:M$89,0,0,1),(_xlfn.XLOOKUP(B79,B80:B$89,S80:S$89,0,0,1)*MAX(1,Q79/_xlfn.XLOOKUP(B79,B80:B$89,Q80:Q$89,Q79,0,1))*_xlfn.XLOOKUP(B79,B80:B$89,M80:M$89,0,0,1)+(F79+H79)*N79+IF(_xlfn.XLOOKUP(J79,B80:B$89,J80:J$89,0,0,1)="put",-_xlfn.XLOOKUP(J79,B80:B$89,S80:S$89,0,0,1)*L79/100,_xlfn.XLOOKUP(J79,B80:B$89,S80:S$89,0,0,1)*L79/100))/M79,_xlfn.XLOOKUP(B79,B80:B$89,S80:S$89,,0,1)*MAX(1,Q79/_xlfn.XLOOKUP(B79,B80:B$89,Q80:Q$89,Q79,0,1))),IF(M79&lt;0,IF(M79&lt;_xlfn.XLOOKUP(B79,B80:B$89,M80:M$89,0,0,1),(_xlfn.XLOOKUP(B79,B80:B$89,S80:S$89,0,0,1)*_xlfn.XLOOKUP(B79,B80:B$89,M80:M$89,0,0,1)-(F79-H79)*N79)/M79,_xlfn.XLOOKUP(B79,B80:B$89,S80:S$89,,0,1)),0))))</f>
        <v>1365.6256000000001</v>
      </c>
      <c r="T79" s="59" cm="1">
        <f t="array" ref="T79">IF(_xlfn.XLOOKUP(B79,J$2:J79,J$2:J79,0,0,-1)=B79,0,IF(G79="",-H79*N79,IFERROR(IF(_xlfn.XLOOKUP(B79,B80:B$89,M80:M$89,,0,1)&lt;0,IF(M79&gt;_xlfn.XLOOKUP(B79,B80:B$89,M80:M$89,,0,1),L79*_xlfn.XLOOKUP(B79,B80:B$89,S80:S$89,,0,1)+(-F79-H79)*N79,0),IF(_xlfn.XLOOKUP(B79,B80:B$89,M80:M$89,,0,1)&gt;0,IF(M79&lt;_xlfn.XLOOKUP(B79,B80:B$89,M80:M$89,,0,1),(F79-H79)*N79-_xlfn.XLOOKUP(B79,B80:B$89,S80:S$89,,0,1)*-L79*MAX(1,R79/_xlfn.XLOOKUP(B79,B80:B$89,Q80:Q$89,R79,0,1)),0),0)),0)))</f>
        <v>0</v>
      </c>
      <c r="U79" s="56" t="str" cm="1">
        <f t="array" ref="U79">IF(AND(OR(J79="call",J79="put"),T79&lt;&gt;0),1,IF(T79=0,"-",IF(L79&lt;0, _xlfn.LET(_xlpm.v_cant, ABS(L79), _xlpm.v_fecha, I79, _xlpm.v_ticker, B79, _xlpm.rango_f, I80:I$1000, _xlpm.rango_t, L80:L$1000, _xlpm.filtro, B80:B$1000=_xlpm.v_ticker, _xlpm.c_fechas, _xlfn._xlws.FILTER(_xlpm.rango_f, _xlpm.filtro*(_xlpm.rango_t&gt;0), _xlpm.v_fecha), _xlpm.c_cants, _xlfn._xlws.FILTER(_xlpm.rango_t, _xlpm.filtro*(_xlpm.rango_t&gt;0), 0), _xlpm.v_acums_pasadas, ABS(SUMIFS(L80:L$1000, B80:B$1000, _xlpm.v_ticker, L80:L$1000,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79" s="11"/>
    </row>
    <row r="80" spans="1:22" x14ac:dyDescent="0.45">
      <c r="A80" s="3" t="s">
        <v>224</v>
      </c>
      <c r="B80" s="3" t="s">
        <v>350</v>
      </c>
      <c r="H80" s="3">
        <v>5.99</v>
      </c>
      <c r="I80" s="14">
        <f>IFERROR(DATE(MID(G80, FIND(",", G80)+2, 4), MATCH(LEFT(G80, 3), {"Jan","Feb","Mar","Apr","May","Jun","Jul","Aug","Sep","Oct","Nov","Dec"}, 0), MID(G80, 5, FIND(",", G80)-5)) + VALUE(MID(G80, FIND(":", G80)-2, 8)),I81)</f>
        <v>45898.546967592592</v>
      </c>
      <c r="J80" s="60" t="str" cm="1">
        <f t="array" ref="J80">IF(OR(ISNUMBER(SEARCH("C",B80)),ISNUMBER(SEARCH("P",B80))),IF(ISNUMBER(SEARCH("C",B80)),"Call","Put"),IF(AND(E80&lt;&gt;0,OR(C80="option exercised",C80="option assigned"),A80="buy"),_xlfn._xlws.FILTER(B$2:B$100,(LEFT(B$2:B$100,LEN(B80))=B80)*(LEN(B$2:B$100)&gt;LEN(B80))*(K$2:K$100=E80)*(I$2:I$100=I80)*(C$2:C$100=C80)*((C80="option assigned")*(ISNUMBER(SEARCH("P",B$2:B$100)))+(C80="option exercised")*(ISNUMBER(SEARCH("C",B$2:B$100)))),""),""))</f>
        <v>Put</v>
      </c>
      <c r="K80" s="9">
        <f t="shared" si="4"/>
        <v>0</v>
      </c>
      <c r="L80" s="5">
        <f t="shared" si="3"/>
        <v>0</v>
      </c>
      <c r="M80" s="5">
        <f>SUMIF(B80:B$88,B80,L80:L$88)</f>
        <v>0</v>
      </c>
      <c r="N80" s="9">
        <v>18.643999999999998</v>
      </c>
      <c r="O80" s="10" cm="1">
        <f t="array" ref="O80">IF(F80=0,_xlfn.XLOOKUP(B80,B81:B$89,O81:O$89,0,0,1),IF(_xlfn.XLOOKUP(B80,B81:B$89,M81:M$89,1,0,1)=0,IF(M80&gt;0,(F80+H80)*N80/M80,(F80-H80)*N80/-M80),IF(M80&gt;0,IF(M80&gt;_xlfn.XLOOKUP(B80,B81:B$89,M81:M$89,0,0,1),(_xlfn.XLOOKUP(B80,B81:B$89,O81:O$89,0,0,1)*_xlfn.XLOOKUP(B80,B81:B$89,M81:M$89,0,0,1)+(F80+H80)*N80+IF(_xlfn.XLOOKUP(J80,B81:B$89,J81:J$89,0,0,1)="put",-_xlfn.XLOOKUP(J80,B81:B$89,O81:O$89,0,0,1)*L80/100,_xlfn.XLOOKUP(J80,B81:B$89,O81:O$89,0,0,1)*L80/100))/M80,_xlfn.XLOOKUP(B80,B81:B$89,O81:O$89,,0,1)),IF(M80&lt;0,IF(M80&lt;_xlfn.XLOOKUP(B80,B81:B$89,M81:M$89,0,0,1),(_xlfn.XLOOKUP(B80,B81:B$89,O81:O$89,0,0,1)*_xlfn.XLOOKUP(B80,B81:B$89,M81:M$89,0,0,1)-(F80-H80)*N80)/M80,_xlfn.XLOOKUP(B80,B81:B$89,O80:O$88,,0,1)),0))))</f>
        <v>0</v>
      </c>
      <c r="P80" s="10" cm="1">
        <f t="array" ref="P80">IF(_xlfn.XLOOKUP(B80,J$2:J80,J$2:J80,0,0,-1)=B80,0,IF(G80="",-H80*N80,IFERROR(IF(_xlfn.XLOOKUP(B80,B81:B$89,M81:M$89,,0,1)&lt;0,IF(M80&gt;_xlfn.XLOOKUP(B80,B81:B$89,M81:M$89,,0,1),L80*_xlfn.XLOOKUP(B80,B81:B$89,O81:O$89,,0,1)+(-F80-H80)*N80,0),IF(_xlfn.XLOOKUP(B80,B81:B$89,M81:M$89,,0,1)&gt;0,IF(M80&lt;_xlfn.XLOOKUP(B80,B81:B$89,M81:M$89,,0,1),(F80-H80)*N80-_xlfn.XLOOKUP(B80,B81:B$89,O81:O$89,,0,1)*-L80,0),0)),0)))</f>
        <v>-111.67756</v>
      </c>
      <c r="Q80" s="56">
        <v>140.86699999999999</v>
      </c>
      <c r="R80" s="56">
        <v>140.78</v>
      </c>
      <c r="S80" s="10" cm="1">
        <f t="array" ref="S80">IF(F80=0,_xlfn.XLOOKUP(B80,B81:B$89,S81:S$89,0,0,1),IF(_xlfn.XLOOKUP(B80,B81:B$89,M81:M$89,1,0,1)=0,IF(M80&gt;0,(F80+H80)*N80/M80,(F80-H80)*N80/-M80),IF(M80&gt;0,IF(M80&gt;_xlfn.XLOOKUP(B80,B81:B$89,M81:M$89,0,0,1),(_xlfn.XLOOKUP(B80,B81:B$89,S81:S$89,0,0,1)*MAX(1,Q80/_xlfn.XLOOKUP(B80,B81:B$89,Q81:Q$89,Q80,0,1))*_xlfn.XLOOKUP(B80,B81:B$89,M81:M$89,0,0,1)+(F80+H80)*N80+IF(_xlfn.XLOOKUP(J80,B81:B$89,J81:J$89,0,0,1)="put",-_xlfn.XLOOKUP(J80,B81:B$89,S81:S$89,0,0,1)*L80/100,_xlfn.XLOOKUP(J80,B81:B$89,S81:S$89,0,0,1)*L80/100))/M80,_xlfn.XLOOKUP(B80,B81:B$89,S81:S$89,,0,1)*MAX(1,Q80/_xlfn.XLOOKUP(B80,B81:B$89,Q81:Q$89,Q80,0,1))),IF(M80&lt;0,IF(M80&lt;_xlfn.XLOOKUP(B80,B81:B$89,M81:M$89,0,0,1),(_xlfn.XLOOKUP(B80,B81:B$89,S81:S$89,0,0,1)*_xlfn.XLOOKUP(B80,B81:B$89,M81:M$89,0,0,1)-(F80-H80)*N80)/M80,_xlfn.XLOOKUP(B80,B81:B$89,S81:S$89,,0,1)),0))))</f>
        <v>0</v>
      </c>
      <c r="T80" s="59" cm="1">
        <f t="array" ref="T80">IF(_xlfn.XLOOKUP(B80,J$2:J80,J$2:J80,0,0,-1)=B80,0,IF(G80="",-H80*N80,IFERROR(IF(_xlfn.XLOOKUP(B80,B81:B$89,M81:M$89,,0,1)&lt;0,IF(M80&gt;_xlfn.XLOOKUP(B80,B81:B$89,M81:M$89,,0,1),L80*_xlfn.XLOOKUP(B80,B81:B$89,S81:S$89,,0,1)+(-F80-H80)*N80,0),IF(_xlfn.XLOOKUP(B80,B81:B$89,M81:M$89,,0,1)&gt;0,IF(M80&lt;_xlfn.XLOOKUP(B80,B81:B$89,M81:M$89,,0,1),(F80-H80)*N80-_xlfn.XLOOKUP(B80,B81:B$89,S81:S$89,,0,1)*-L80*MAX(1,R80/_xlfn.XLOOKUP(B80,B81:B$89,Q81:Q$89,R80,0,1)),0),0)),0)))</f>
        <v>-111.67756</v>
      </c>
      <c r="U80" s="56" cm="1">
        <f t="array" ref="U80">IF(AND(OR(J80="call",J80="put"),T80&lt;&gt;0),1,IF(T80=0,"-",IF(L80&lt;0, _xlfn.LET(_xlpm.v_cant, ABS(L80), _xlpm.v_fecha, I80, _xlpm.v_ticker, B80, _xlpm.rango_f, I81:I$1000, _xlpm.rango_t, L81:L$1000, _xlpm.filtro, B81:B$1000=_xlpm.v_ticker, _xlpm.c_fechas, _xlfn._xlws.FILTER(_xlpm.rango_f, _xlpm.filtro*(_xlpm.rango_t&gt;0), _xlpm.v_fecha), _xlpm.c_cants, _xlfn._xlws.FILTER(_xlpm.rango_t, _xlpm.filtro*(_xlpm.rango_t&gt;0), 0), _xlpm.v_acums_pasadas, ABS(SUMIFS(L81:L$1000, B81:B$1000, _xlpm.v_ticker, L81:L$1000,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80" s="11"/>
    </row>
    <row r="81" spans="1:22" x14ac:dyDescent="0.45">
      <c r="A81" s="3" t="s">
        <v>222</v>
      </c>
      <c r="B81" s="3" t="s">
        <v>351</v>
      </c>
      <c r="D81" s="3">
        <v>1</v>
      </c>
      <c r="E81" s="3">
        <v>0.3</v>
      </c>
      <c r="F81" s="3">
        <v>30</v>
      </c>
      <c r="G81" s="3" t="s">
        <v>357</v>
      </c>
      <c r="I81" s="14">
        <f>IFERROR(DATE(MID(G81, FIND(",", G81)+2, 4), MATCH(LEFT(G81, 3), {"Jan","Feb","Mar","Apr","May","Jun","Jul","Aug","Sep","Oct","Nov","Dec"}, 0), MID(G81, 5, FIND(",", G81)-5)) + VALUE(MID(G81, FIND(":", G81)-2, 8)),I82)</f>
        <v>45898.546967592592</v>
      </c>
      <c r="J81" s="60" t="str" cm="1">
        <f t="array" ref="J81">IF(OR(ISNUMBER(SEARCH("C",B81)),ISNUMBER(SEARCH("P",B81))),IF(ISNUMBER(SEARCH("C",B81)),"Call","Put"),IF(AND(E81&lt;&gt;0,OR(C81="option exercised",C81="option assigned"),A81="buy"),_xlfn._xlws.FILTER(B$2:B$100,(LEFT(B$2:B$100,LEN(B81))=B81)*(LEN(B$2:B$100)&gt;LEN(B81))*(K$2:K$100=E81)*(I$2:I$100=I81)*(C$2:C$100=C81)*((C81="option assigned")*(ISNUMBER(SEARCH("P",B$2:B$100)))+(C81="option exercised")*(ISNUMBER(SEARCH("C",B$2:B$100)))),""),""))</f>
        <v>Put</v>
      </c>
      <c r="K81" s="9">
        <f t="shared" si="4"/>
        <v>59</v>
      </c>
      <c r="L81" s="5">
        <f t="shared" si="3"/>
        <v>-1</v>
      </c>
      <c r="M81" s="5">
        <f>SUMIF(B81:B$88,B81,L81:L$88)</f>
        <v>-1</v>
      </c>
      <c r="N81" s="9">
        <v>18.643999999999998</v>
      </c>
      <c r="O81" s="10" cm="1">
        <f t="array" ref="O81">IF(F81=0,_xlfn.XLOOKUP(B81,B82:B$89,O82:O$89,0,0,1),IF(_xlfn.XLOOKUP(B81,B82:B$89,M82:M$89,1,0,1)=0,IF(M81&gt;0,(F81+H81)*N81/M81,(F81-H81)*N81/-M81),IF(M81&gt;0,IF(M81&gt;_xlfn.XLOOKUP(B81,B82:B$89,M82:M$89,0,0,1),(_xlfn.XLOOKUP(B81,B82:B$89,O82:O$89,0,0,1)*_xlfn.XLOOKUP(B81,B82:B$89,M82:M$89,0,0,1)+(F81+H81)*N81+IF(_xlfn.XLOOKUP(J81,B82:B$89,J82:J$89,0,0,1)="put",-_xlfn.XLOOKUP(J81,B82:B$89,O82:O$89,0,0,1)*L81/100,_xlfn.XLOOKUP(J81,B82:B$89,O82:O$89,0,0,1)*L81/100))/M81,_xlfn.XLOOKUP(B81,B82:B$89,O82:O$89,,0,1)),IF(M81&lt;0,IF(M81&lt;_xlfn.XLOOKUP(B81,B82:B$89,M82:M$89,0,0,1),(_xlfn.XLOOKUP(B81,B82:B$89,O82:O$89,0,0,1)*_xlfn.XLOOKUP(B81,B82:B$89,M82:M$89,0,0,1)-(F81-H81)*N81)/M81,_xlfn.XLOOKUP(B81,B82:B$89,O81:O$88,,0,1)),0))))</f>
        <v>559.31999999999994</v>
      </c>
      <c r="P81" s="10" cm="1">
        <f t="array" ref="P81">IF(_xlfn.XLOOKUP(B81,J$2:J81,J$2:J81,0,0,-1)=B81,0,IF(G81="",-H81*N81,IFERROR(IF(_xlfn.XLOOKUP(B81,B82:B$89,M82:M$89,,0,1)&lt;0,IF(M81&gt;_xlfn.XLOOKUP(B81,B82:B$89,M82:M$89,,0,1),L81*_xlfn.XLOOKUP(B81,B82:B$89,O82:O$89,,0,1)+(-F81-H81)*N81,0),IF(_xlfn.XLOOKUP(B81,B82:B$89,M82:M$89,,0,1)&gt;0,IF(M81&lt;_xlfn.XLOOKUP(B81,B82:B$89,M82:M$89,,0,1),(F81-H81)*N81-_xlfn.XLOOKUP(B81,B82:B$89,O82:O$89,,0,1)*-L81,0),0)),0)))</f>
        <v>0</v>
      </c>
      <c r="Q81" s="56">
        <v>140.86699999999999</v>
      </c>
      <c r="R81" s="56">
        <v>140.78</v>
      </c>
      <c r="S81" s="10" cm="1">
        <f t="array" ref="S81">IF(F81=0,_xlfn.XLOOKUP(B81,B82:B$89,S82:S$89,0,0,1),IF(_xlfn.XLOOKUP(B81,B82:B$89,M82:M$89,1,0,1)=0,IF(M81&gt;0,(F81+H81)*N81/M81,(F81-H81)*N81/-M81),IF(M81&gt;0,IF(M81&gt;_xlfn.XLOOKUP(B81,B82:B$89,M82:M$89,0,0,1),(_xlfn.XLOOKUP(B81,B82:B$89,S82:S$89,0,0,1)*MAX(1,Q81/_xlfn.XLOOKUP(B81,B82:B$89,Q82:Q$89,Q81,0,1))*_xlfn.XLOOKUP(B81,B82:B$89,M82:M$89,0,0,1)+(F81+H81)*N81+IF(_xlfn.XLOOKUP(J81,B82:B$89,J82:J$89,0,0,1)="put",-_xlfn.XLOOKUP(J81,B82:B$89,S82:S$89,0,0,1)*L81/100,_xlfn.XLOOKUP(J81,B82:B$89,S82:S$89,0,0,1)*L81/100))/M81,_xlfn.XLOOKUP(B81,B82:B$89,S82:S$89,,0,1)*MAX(1,Q81/_xlfn.XLOOKUP(B81,B82:B$89,Q82:Q$89,Q81,0,1))),IF(M81&lt;0,IF(M81&lt;_xlfn.XLOOKUP(B81,B82:B$89,M82:M$89,0,0,1),(_xlfn.XLOOKUP(B81,B82:B$89,S82:S$89,0,0,1)*_xlfn.XLOOKUP(B81,B82:B$89,M82:M$89,0,0,1)-(F81-H81)*N81)/M81,_xlfn.XLOOKUP(B81,B82:B$89,S82:S$89,,0,1)),0))))</f>
        <v>559.31999999999994</v>
      </c>
      <c r="T81" s="59" cm="1">
        <f t="array" ref="T81">IF(_xlfn.XLOOKUP(B81,J$2:J81,J$2:J81,0,0,-1)=B81,0,IF(G81="",-H81*N81,IFERROR(IF(_xlfn.XLOOKUP(B81,B82:B$89,M82:M$89,,0,1)&lt;0,IF(M81&gt;_xlfn.XLOOKUP(B81,B82:B$89,M82:M$89,,0,1),L81*_xlfn.XLOOKUP(B81,B82:B$89,S82:S$89,,0,1)+(-F81-H81)*N81,0),IF(_xlfn.XLOOKUP(B81,B82:B$89,M82:M$89,,0,1)&gt;0,IF(M81&lt;_xlfn.XLOOKUP(B81,B82:B$89,M82:M$89,,0,1),(F81-H81)*N81-_xlfn.XLOOKUP(B81,B82:B$89,S82:S$89,,0,1)*-L81*MAX(1,R81/_xlfn.XLOOKUP(B81,B82:B$89,Q82:Q$89,R81,0,1)),0),0)),0)))</f>
        <v>0</v>
      </c>
      <c r="U81" s="56" t="str" cm="1">
        <f t="array" ref="U81">IF(AND(OR(J81="call",J81="put"),T81&lt;&gt;0),1,IF(T81=0,"-",IF(L81&lt;0, _xlfn.LET(_xlpm.v_cant, ABS(L81), _xlpm.v_fecha, I81, _xlpm.v_ticker, B81, _xlpm.rango_f, I82:I$1000, _xlpm.rango_t, L82:L$1000, _xlpm.filtro, B82:B$1000=_xlpm.v_ticker, _xlpm.c_fechas, _xlfn._xlws.FILTER(_xlpm.rango_f, _xlpm.filtro*(_xlpm.rango_t&gt;0), _xlpm.v_fecha), _xlpm.c_cants, _xlfn._xlws.FILTER(_xlpm.rango_t, _xlpm.filtro*(_xlpm.rango_t&gt;0), 0), _xlpm.v_acums_pasadas, ABS(SUMIFS(L82:L$1000, B82:B$1000, _xlpm.v_ticker, L82:L$1000,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1" s="11"/>
    </row>
    <row r="82" spans="1:22" x14ac:dyDescent="0.45">
      <c r="A82" s="3" t="s">
        <v>224</v>
      </c>
      <c r="B82" s="3" t="s">
        <v>353</v>
      </c>
      <c r="D82" s="3">
        <v>1</v>
      </c>
      <c r="E82" s="3">
        <v>0.64</v>
      </c>
      <c r="F82" s="3">
        <v>64</v>
      </c>
      <c r="G82" s="3" t="s">
        <v>357</v>
      </c>
      <c r="I82" s="14">
        <f>IFERROR(DATE(MID(G82, FIND(",", G82)+2, 4), MATCH(LEFT(G82, 3), {"Jan","Feb","Mar","Apr","May","Jun","Jul","Aug","Sep","Oct","Nov","Dec"}, 0), MID(G82, 5, FIND(",", G82)-5)) + VALUE(MID(G82, FIND(":", G82)-2, 8)),I83)</f>
        <v>45898.546967592592</v>
      </c>
      <c r="J82" s="60" t="str" cm="1">
        <f t="array" ref="J82">IF(OR(ISNUMBER(SEARCH("C",B82)),ISNUMBER(SEARCH("P",B82))),IF(ISNUMBER(SEARCH("C",B82)),"Call","Put"),IF(AND(E82&lt;&gt;0,OR(C82="option exercised",C82="option assigned"),A82="buy"),_xlfn._xlws.FILTER(B$2:B$100,(LEFT(B$2:B$100,LEN(B82))=B82)*(LEN(B$2:B$100)&gt;LEN(B82))*(K$2:K$100=E82)*(I$2:I$100=I82)*(C$2:C$100=C82)*((C82="option assigned")*(ISNUMBER(SEARCH("P",B$2:B$100)))+(C82="option exercised")*(ISNUMBER(SEARCH("C",B$2:B$100)))),""),""))</f>
        <v>Put</v>
      </c>
      <c r="K82" s="9">
        <f t="shared" si="4"/>
        <v>61</v>
      </c>
      <c r="L82" s="5">
        <f t="shared" si="3"/>
        <v>1</v>
      </c>
      <c r="M82" s="5">
        <f>SUMIF(B82:B$88,B82,L82:L$88)</f>
        <v>1</v>
      </c>
      <c r="N82" s="9">
        <v>18.643999999999998</v>
      </c>
      <c r="O82" s="10" cm="1">
        <f t="array" ref="O82">IF(F82=0,_xlfn.XLOOKUP(B82,B83:B$89,O83:O$89,0,0,1),IF(_xlfn.XLOOKUP(B82,B83:B$89,M83:M$89,1,0,1)=0,IF(M82&gt;0,(F82+H82)*N82/M82,(F82-H82)*N82/-M82),IF(M82&gt;0,IF(M82&gt;_xlfn.XLOOKUP(B82,B83:B$89,M83:M$89,0,0,1),(_xlfn.XLOOKUP(B82,B83:B$89,O83:O$89,0,0,1)*_xlfn.XLOOKUP(B82,B83:B$89,M83:M$89,0,0,1)+(F82+H82)*N82+IF(_xlfn.XLOOKUP(J82,B83:B$89,J83:J$89,0,0,1)="put",-_xlfn.XLOOKUP(J82,B83:B$89,O83:O$89,0,0,1)*L82/100,_xlfn.XLOOKUP(J82,B83:B$89,O83:O$89,0,0,1)*L82/100))/M82,_xlfn.XLOOKUP(B82,B83:B$89,O83:O$89,,0,1)),IF(M82&lt;0,IF(M82&lt;_xlfn.XLOOKUP(B82,B83:B$89,M83:M$89,0,0,1),(_xlfn.XLOOKUP(B82,B83:B$89,O83:O$89,0,0,1)*_xlfn.XLOOKUP(B82,B83:B$89,M83:M$89,0,0,1)-(F82-H82)*N82)/M82,_xlfn.XLOOKUP(B82,B83:B$89,O82:O$88,,0,1)),0))))</f>
        <v>1193.2159999999999</v>
      </c>
      <c r="P82" s="10" cm="1">
        <f t="array" ref="P82">IF(_xlfn.XLOOKUP(B82,J$2:J82,J$2:J82,0,0,-1)=B82,0,IF(G82="",-H82*N82,IFERROR(IF(_xlfn.XLOOKUP(B82,B83:B$89,M83:M$89,,0,1)&lt;0,IF(M82&gt;_xlfn.XLOOKUP(B82,B83:B$89,M83:M$89,,0,1),L82*_xlfn.XLOOKUP(B82,B83:B$89,O83:O$89,,0,1)+(-F82-H82)*N82,0),IF(_xlfn.XLOOKUP(B82,B83:B$89,M83:M$89,,0,1)&gt;0,IF(M82&lt;_xlfn.XLOOKUP(B82,B83:B$89,M83:M$89,,0,1),(F82-H82)*N82-_xlfn.XLOOKUP(B82,B83:B$89,O83:O$89,,0,1)*-L82,0),0)),0)))</f>
        <v>0</v>
      </c>
      <c r="Q82" s="56">
        <v>140.86699999999999</v>
      </c>
      <c r="R82" s="56">
        <v>140.78</v>
      </c>
      <c r="S82" s="10" cm="1">
        <f t="array" ref="S82">IF(F82=0,_xlfn.XLOOKUP(B82,B83:B$89,S83:S$89,0,0,1),IF(_xlfn.XLOOKUP(B82,B83:B$89,M83:M$89,1,0,1)=0,IF(M82&gt;0,(F82+H82)*N82/M82,(F82-H82)*N82/-M82),IF(M82&gt;0,IF(M82&gt;_xlfn.XLOOKUP(B82,B83:B$89,M83:M$89,0,0,1),(_xlfn.XLOOKUP(B82,B83:B$89,S83:S$89,0,0,1)*MAX(1,Q82/_xlfn.XLOOKUP(B82,B83:B$89,Q83:Q$89,Q82,0,1))*_xlfn.XLOOKUP(B82,B83:B$89,M83:M$89,0,0,1)+(F82+H82)*N82+IF(_xlfn.XLOOKUP(J82,B83:B$89,J83:J$89,0,0,1)="put",-_xlfn.XLOOKUP(J82,B83:B$89,S83:S$89,0,0,1)*L82/100,_xlfn.XLOOKUP(J82,B83:B$89,S83:S$89,0,0,1)*L82/100))/M82,_xlfn.XLOOKUP(B82,B83:B$89,S83:S$89,,0,1)*MAX(1,Q82/_xlfn.XLOOKUP(B82,B83:B$89,Q83:Q$89,Q82,0,1))),IF(M82&lt;0,IF(M82&lt;_xlfn.XLOOKUP(B82,B83:B$89,M83:M$89,0,0,1),(_xlfn.XLOOKUP(B82,B83:B$89,S83:S$89,0,0,1)*_xlfn.XLOOKUP(B82,B83:B$89,M83:M$89,0,0,1)-(F82-H82)*N82)/M82,_xlfn.XLOOKUP(B82,B83:B$89,S83:S$89,,0,1)),0))))</f>
        <v>1193.2159999999999</v>
      </c>
      <c r="T82" s="59" cm="1">
        <f t="array" ref="T82">IF(_xlfn.XLOOKUP(B82,J$2:J82,J$2:J82,0,0,-1)=B82,0,IF(G82="",-H82*N82,IFERROR(IF(_xlfn.XLOOKUP(B82,B83:B$89,M83:M$89,,0,1)&lt;0,IF(M82&gt;_xlfn.XLOOKUP(B82,B83:B$89,M83:M$89,,0,1),L82*_xlfn.XLOOKUP(B82,B83:B$89,S83:S$89,,0,1)+(-F82-H82)*N82,0),IF(_xlfn.XLOOKUP(B82,B83:B$89,M83:M$89,,0,1)&gt;0,IF(M82&lt;_xlfn.XLOOKUP(B82,B83:B$89,M83:M$89,,0,1),(F82-H82)*N82-_xlfn.XLOOKUP(B82,B83:B$89,S83:S$89,,0,1)*-L82*MAX(1,R82/_xlfn.XLOOKUP(B82,B83:B$89,Q83:Q$89,R82,0,1)),0),0)),0)))</f>
        <v>0</v>
      </c>
      <c r="U82" s="56" t="str" cm="1">
        <f t="array" ref="U82">IF(AND(OR(J82="call",J82="put"),T82&lt;&gt;0),1,IF(T82=0,"-",IF(L82&lt;0, _xlfn.LET(_xlpm.v_cant, ABS(L82), _xlpm.v_fecha, I82, _xlpm.v_ticker, B82, _xlpm.rango_f, I83:I$1000, _xlpm.rango_t, L83:L$1000, _xlpm.filtro, B83:B$1000=_xlpm.v_ticker, _xlpm.c_fechas, _xlfn._xlws.FILTER(_xlpm.rango_f, _xlpm.filtro*(_xlpm.rango_t&gt;0), _xlpm.v_fecha), _xlpm.c_cants, _xlfn._xlws.FILTER(_xlpm.rango_t, _xlpm.filtro*(_xlpm.rango_t&gt;0), 0), _xlpm.v_acums_pasadas, ABS(SUMIFS(L83:L$1000, B83:B$1000, _xlpm.v_ticker, L83:L$1000,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2" s="11"/>
    </row>
    <row r="83" spans="1:22" x14ac:dyDescent="0.45">
      <c r="A83" s="3" t="s">
        <v>224</v>
      </c>
      <c r="B83" s="3" t="s">
        <v>333</v>
      </c>
      <c r="D83" s="3">
        <v>1</v>
      </c>
      <c r="E83" s="3">
        <v>0.51</v>
      </c>
      <c r="F83" s="3">
        <v>51</v>
      </c>
      <c r="G83" s="3" t="s">
        <v>358</v>
      </c>
      <c r="H83" s="3">
        <v>2.99</v>
      </c>
      <c r="I83" s="14">
        <f>IFERROR(DATE(MID(G83, FIND(",", G83)+2, 4), MATCH(LEFT(G83, 3), {"Jan","Feb","Mar","Apr","May","Jun","Jul","Aug","Sep","Oct","Nov","Dec"}, 0), MID(G83, 5, FIND(",", G83)-5)) + VALUE(MID(G83, FIND(":", G83)-2, 8)),I84)</f>
        <v>45895.566250000003</v>
      </c>
      <c r="J83" s="60" t="str" cm="1">
        <f t="array" ref="J83">IF(OR(ISNUMBER(SEARCH("C",B83)),ISNUMBER(SEARCH("P",B83))),IF(ISNUMBER(SEARCH("C",B83)),"Call","Put"),IF(AND(E83&lt;&gt;0,OR(C83="option exercised",C83="option assigned"),A83="buy"),_xlfn._xlws.FILTER(B$2:B$100,(LEFT(B$2:B$100,LEN(B83))=B83)*(LEN(B$2:B$100)&gt;LEN(B83))*(K$2:K$100=E83)*(I$2:I$100=I83)*(C$2:C$100=C83)*((C83="option assigned")*(ISNUMBER(SEARCH("P",B$2:B$100)))+(C83="option exercised")*(ISNUMBER(SEARCH("C",B$2:B$100)))),""),""))</f>
        <v>Call</v>
      </c>
      <c r="K83" s="9">
        <f t="shared" si="4"/>
        <v>7</v>
      </c>
      <c r="L83" s="5">
        <f t="shared" si="3"/>
        <v>1</v>
      </c>
      <c r="M83" s="5">
        <f>SUMIF(B83:B$88,B83,L83:L$88)</f>
        <v>1</v>
      </c>
      <c r="N83" s="9">
        <v>18.6843</v>
      </c>
      <c r="O83" s="10" cm="1">
        <f t="array" ref="O83">IF(F83=0,_xlfn.XLOOKUP(B83,B84:B$89,O84:O$89,0,0,1),IF(_xlfn.XLOOKUP(B83,B84:B$89,M84:M$89,1,0,1)=0,IF(M83&gt;0,(F83+H83)*N83/M83,(F83-H83)*N83/-M83),IF(M83&gt;0,IF(M83&gt;_xlfn.XLOOKUP(B83,B84:B$89,M84:M$89,0,0,1),(_xlfn.XLOOKUP(B83,B84:B$89,O84:O$89,0,0,1)*_xlfn.XLOOKUP(B83,B84:B$89,M84:M$89,0,0,1)+(F83+H83)*N83+IF(_xlfn.XLOOKUP(J83,B84:B$89,J84:J$89,0,0,1)="put",-_xlfn.XLOOKUP(J83,B84:B$89,O84:O$89,0,0,1)*L83/100,_xlfn.XLOOKUP(J83,B84:B$89,O84:O$89,0,0,1)*L83/100))/M83,_xlfn.XLOOKUP(B83,B84:B$89,O84:O$89,,0,1)),IF(M83&lt;0,IF(M83&lt;_xlfn.XLOOKUP(B83,B84:B$89,M84:M$89,0,0,1),(_xlfn.XLOOKUP(B83,B84:B$89,O84:O$89,0,0,1)*_xlfn.XLOOKUP(B83,B84:B$89,M84:M$89,0,0,1)-(F83-H83)*N83)/M83,_xlfn.XLOOKUP(B83,B84:B$89,O83:O$88,,0,1)),0))))</f>
        <v>1008.7653570000001</v>
      </c>
      <c r="P83" s="10" cm="1">
        <f t="array" ref="P83">IF(_xlfn.XLOOKUP(B83,J$2:J83,J$2:J83,0,0,-1)=B83,0,IF(G83="",-H83*N83,IFERROR(IF(_xlfn.XLOOKUP(B83,B84:B$89,M84:M$89,,0,1)&lt;0,IF(M83&gt;_xlfn.XLOOKUP(B83,B84:B$89,M84:M$89,,0,1),L83*_xlfn.XLOOKUP(B83,B84:B$89,O84:O$89,,0,1)+(-F83-H83)*N83,0),IF(_xlfn.XLOOKUP(B83,B84:B$89,M84:M$89,,0,1)&gt;0,IF(M83&lt;_xlfn.XLOOKUP(B83,B84:B$89,M84:M$89,,0,1),(F83-H83)*N83-_xlfn.XLOOKUP(B83,B84:B$89,O84:O$89,,0,1)*-L83,0),0)),0)))</f>
        <v>0</v>
      </c>
      <c r="Q83" s="56">
        <v>140.86699999999999</v>
      </c>
      <c r="R83" s="56">
        <v>140.78</v>
      </c>
      <c r="S83" s="10" cm="1">
        <f t="array" ref="S83">IF(F83=0,_xlfn.XLOOKUP(B83,B84:B$89,S84:S$89,0,0,1),IF(_xlfn.XLOOKUP(B83,B84:B$89,M84:M$89,1,0,1)=0,IF(M83&gt;0,(F83+H83)*N83/M83,(F83-H83)*N83/-M83),IF(M83&gt;0,IF(M83&gt;_xlfn.XLOOKUP(B83,B84:B$89,M84:M$89,0,0,1),(_xlfn.XLOOKUP(B83,B84:B$89,S84:S$89,0,0,1)*MAX(1,Q83/_xlfn.XLOOKUP(B83,B84:B$89,Q84:Q$89,Q83,0,1))*_xlfn.XLOOKUP(B83,B84:B$89,M84:M$89,0,0,1)+(F83+H83)*N83+IF(_xlfn.XLOOKUP(J83,B84:B$89,J84:J$89,0,0,1)="put",-_xlfn.XLOOKUP(J83,B84:B$89,S84:S$89,0,0,1)*L83/100,_xlfn.XLOOKUP(J83,B84:B$89,S84:S$89,0,0,1)*L83/100))/M83,_xlfn.XLOOKUP(B83,B84:B$89,S84:S$89,,0,1)*MAX(1,Q83/_xlfn.XLOOKUP(B83,B84:B$89,Q84:Q$89,Q83,0,1))),IF(M83&lt;0,IF(M83&lt;_xlfn.XLOOKUP(B83,B84:B$89,M84:M$89,0,0,1),(_xlfn.XLOOKUP(B83,B84:B$89,S84:S$89,0,0,1)*_xlfn.XLOOKUP(B83,B84:B$89,M84:M$89,0,0,1)-(F83-H83)*N83)/M83,_xlfn.XLOOKUP(B83,B84:B$89,S84:S$89,,0,1)),0))))</f>
        <v>1008.7653570000001</v>
      </c>
      <c r="T83" s="59" cm="1">
        <f t="array" ref="T83">IF(_xlfn.XLOOKUP(B83,J$2:J83,J$2:J83,0,0,-1)=B83,0,IF(G83="",-H83*N83,IFERROR(IF(_xlfn.XLOOKUP(B83,B84:B$89,M84:M$89,,0,1)&lt;0,IF(M83&gt;_xlfn.XLOOKUP(B83,B84:B$89,M84:M$89,,0,1),L83*_xlfn.XLOOKUP(B83,B84:B$89,S84:S$89,,0,1)+(-F83-H83)*N83,0),IF(_xlfn.XLOOKUP(B83,B84:B$89,M84:M$89,,0,1)&gt;0,IF(M83&lt;_xlfn.XLOOKUP(B83,B84:B$89,M84:M$89,,0,1),(F83-H83)*N83-_xlfn.XLOOKUP(B83,B84:B$89,S84:S$89,,0,1)*-L83*MAX(1,R83/_xlfn.XLOOKUP(B83,B84:B$89,Q84:Q$89,R83,0,1)),0),0)),0)))</f>
        <v>0</v>
      </c>
      <c r="U83" s="56" t="str" cm="1">
        <f t="array" ref="U83">IF(AND(OR(J83="call",J83="put"),T83&lt;&gt;0),1,IF(T83=0,"-",IF(L83&lt;0, _xlfn.LET(_xlpm.v_cant, ABS(L83), _xlpm.v_fecha, I83, _xlpm.v_ticker, B83, _xlpm.rango_f, I84:I$1000, _xlpm.rango_t, L84:L$1000, _xlpm.filtro, B84:B$1000=_xlpm.v_ticker, _xlpm.c_fechas, _xlfn._xlws.FILTER(_xlpm.rango_f, _xlpm.filtro*(_xlpm.rango_t&gt;0), _xlpm.v_fecha), _xlpm.c_cants, _xlfn._xlws.FILTER(_xlpm.rango_t, _xlpm.filtro*(_xlpm.rango_t&gt;0), 0), _xlpm.v_acums_pasadas, ABS(SUMIFS(L84:L$1000, B84:B$1000, _xlpm.v_ticker, L84:L$1000,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3" s="11"/>
    </row>
    <row r="84" spans="1:22" x14ac:dyDescent="0.45">
      <c r="A84" s="3" t="s">
        <v>224</v>
      </c>
      <c r="B84" s="3" t="s">
        <v>342</v>
      </c>
      <c r="H84" s="3">
        <v>11.98</v>
      </c>
      <c r="I84" s="14">
        <f>IFERROR(DATE(MID(G84, FIND(",", G84)+2, 4), MATCH(LEFT(G84, 3), {"Jan","Feb","Mar","Apr","May","Jun","Jul","Aug","Sep","Oct","Nov","Dec"}, 0), MID(G84, 5, FIND(",", G84)-5)) + VALUE(MID(G84, FIND(":", G84)-2, 8)),I85)</f>
        <v>45891.579340277778</v>
      </c>
      <c r="J84" s="60" t="str" cm="1">
        <f t="array" ref="J84">IF(OR(ISNUMBER(SEARCH("C",B84)),ISNUMBER(SEARCH("P",B84))),IF(ISNUMBER(SEARCH("C",B84)),"Call","Put"),IF(AND(E84&lt;&gt;0,OR(C84="option exercised",C84="option assigned"),A84="buy"),_xlfn._xlws.FILTER(B$2:B$100,(LEFT(B$2:B$100,LEN(B84))=B84)*(LEN(B$2:B$100)&gt;LEN(B84))*(K$2:K$100=E84)*(I$2:I$100=I84)*(C$2:C$100=C84)*((C84="option assigned")*(ISNUMBER(SEARCH("P",B$2:B$100)))+(C84="option exercised")*(ISNUMBER(SEARCH("C",B$2:B$100)))),""),""))</f>
        <v>Call</v>
      </c>
      <c r="K84" s="9">
        <f t="shared" si="4"/>
        <v>0</v>
      </c>
      <c r="L84" s="5">
        <f t="shared" si="3"/>
        <v>0</v>
      </c>
      <c r="M84" s="5">
        <f>SUMIF(B84:B$88,B84,L84:L$88)</f>
        <v>0</v>
      </c>
      <c r="N84" s="9">
        <v>18.594999999999999</v>
      </c>
      <c r="O84" s="10" cm="1">
        <f t="array" ref="O84">IF(F84=0,_xlfn.XLOOKUP(B84,B85:B$89,O85:O$89,0,0,1),IF(_xlfn.XLOOKUP(B84,B85:B$89,M85:M$89,1,0,1)=0,IF(M84&gt;0,(F84+H84)*N84/M84,(F84-H84)*N84/-M84),IF(M84&gt;0,IF(M84&gt;_xlfn.XLOOKUP(B84,B85:B$89,M85:M$89,0,0,1),(_xlfn.XLOOKUP(B84,B85:B$89,O85:O$89,0,0,1)*_xlfn.XLOOKUP(B84,B85:B$89,M85:M$89,0,0,1)+(F84+H84)*N84+IF(_xlfn.XLOOKUP(J84,B85:B$89,J85:J$89,0,0,1)="put",-_xlfn.XLOOKUP(J84,B85:B$89,O85:O$89,0,0,1)*L84/100,_xlfn.XLOOKUP(J84,B85:B$89,O85:O$89,0,0,1)*L84/100))/M84,_xlfn.XLOOKUP(B84,B85:B$89,O85:O$89,,0,1)),IF(M84&lt;0,IF(M84&lt;_xlfn.XLOOKUP(B84,B85:B$89,M85:M$89,0,0,1),(_xlfn.XLOOKUP(B84,B85:B$89,O85:O$89,0,0,1)*_xlfn.XLOOKUP(B84,B85:B$89,M85:M$89,0,0,1)-(F84-H84)*N84)/M84,_xlfn.XLOOKUP(B84,B85:B$89,O84:O$88,,0,1)),0))))</f>
        <v>0</v>
      </c>
      <c r="P84" s="10" cm="1">
        <f t="array" ref="P84">IF(_xlfn.XLOOKUP(B84,J$2:J84,J$2:J84,0,0,-1)=B84,0,IF(G84="",-H84*N84,IFERROR(IF(_xlfn.XLOOKUP(B84,B85:B$89,M85:M$89,,0,1)&lt;0,IF(M84&gt;_xlfn.XLOOKUP(B84,B85:B$89,M85:M$89,,0,1),L84*_xlfn.XLOOKUP(B84,B85:B$89,O85:O$89,,0,1)+(-F84-H84)*N84,0),IF(_xlfn.XLOOKUP(B84,B85:B$89,M85:M$89,,0,1)&gt;0,IF(M84&lt;_xlfn.XLOOKUP(B84,B85:B$89,M85:M$89,,0,1),(F84-H84)*N84-_xlfn.XLOOKUP(B84,B85:B$89,O85:O$89,,0,1)*-L84,0),0)),0)))</f>
        <v>-222.7681</v>
      </c>
      <c r="Q84" s="56">
        <v>140.86699999999999</v>
      </c>
      <c r="R84" s="56">
        <v>140.78</v>
      </c>
      <c r="S84" s="10" cm="1">
        <f t="array" ref="S84">IF(F84=0,_xlfn.XLOOKUP(B84,B85:B$89,S85:S$89,0,0,1),IF(_xlfn.XLOOKUP(B84,B85:B$89,M85:M$89,1,0,1)=0,IF(M84&gt;0,(F84+H84)*N84/M84,(F84-H84)*N84/-M84),IF(M84&gt;0,IF(M84&gt;_xlfn.XLOOKUP(B84,B85:B$89,M85:M$89,0,0,1),(_xlfn.XLOOKUP(B84,B85:B$89,S85:S$89,0,0,1)*MAX(1,Q84/_xlfn.XLOOKUP(B84,B85:B$89,Q85:Q$89,Q84,0,1))*_xlfn.XLOOKUP(B84,B85:B$89,M85:M$89,0,0,1)+(F84+H84)*N84+IF(_xlfn.XLOOKUP(J84,B85:B$89,J85:J$89,0,0,1)="put",-_xlfn.XLOOKUP(J84,B85:B$89,S85:S$89,0,0,1)*L84/100,_xlfn.XLOOKUP(J84,B85:B$89,S85:S$89,0,0,1)*L84/100))/M84,_xlfn.XLOOKUP(B84,B85:B$89,S85:S$89,,0,1)*MAX(1,Q84/_xlfn.XLOOKUP(B84,B85:B$89,Q85:Q$89,Q84,0,1))),IF(M84&lt;0,IF(M84&lt;_xlfn.XLOOKUP(B84,B85:B$89,M85:M$89,0,0,1),(_xlfn.XLOOKUP(B84,B85:B$89,S85:S$89,0,0,1)*_xlfn.XLOOKUP(B84,B85:B$89,M85:M$89,0,0,1)-(F84-H84)*N84)/M84,_xlfn.XLOOKUP(B84,B85:B$89,S85:S$89,,0,1)),0))))</f>
        <v>0</v>
      </c>
      <c r="T84" s="59" cm="1">
        <f t="array" ref="T84">IF(_xlfn.XLOOKUP(B84,J$2:J84,J$2:J84,0,0,-1)=B84,0,IF(G84="",-H84*N84,IFERROR(IF(_xlfn.XLOOKUP(B84,B85:B$89,M85:M$89,,0,1)&lt;0,IF(M84&gt;_xlfn.XLOOKUP(B84,B85:B$89,M85:M$89,,0,1),L84*_xlfn.XLOOKUP(B84,B85:B$89,S85:S$89,,0,1)+(-F84-H84)*N84,0),IF(_xlfn.XLOOKUP(B84,B85:B$89,M85:M$89,,0,1)&gt;0,IF(M84&lt;_xlfn.XLOOKUP(B84,B85:B$89,M85:M$89,,0,1),(F84-H84)*N84-_xlfn.XLOOKUP(B84,B85:B$89,S85:S$89,,0,1)*-L84*MAX(1,R84/_xlfn.XLOOKUP(B84,B85:B$89,Q85:Q$89,R84,0,1)),0),0)),0)))</f>
        <v>-222.7681</v>
      </c>
      <c r="U84" s="56" cm="1">
        <f t="array" ref="U84">IF(AND(OR(J84="call",J84="put"),T84&lt;&gt;0),1,IF(T84=0,"-",IF(L84&lt;0, _xlfn.LET(_xlpm.v_cant, ABS(L84), _xlpm.v_fecha, I84, _xlpm.v_ticker, B84, _xlpm.rango_f, I85:I$1000, _xlpm.rango_t, L85:L$1000, _xlpm.filtro, B85:B$1000=_xlpm.v_ticker, _xlpm.c_fechas, _xlfn._xlws.FILTER(_xlpm.rango_f, _xlpm.filtro*(_xlpm.rango_t&gt;0), _xlpm.v_fecha), _xlpm.c_cants, _xlfn._xlws.FILTER(_xlpm.rango_t, _xlpm.filtro*(_xlpm.rango_t&gt;0), 0), _xlpm.v_acums_pasadas, ABS(SUMIFS(L85:L$1000, B85:B$1000, _xlpm.v_ticker, L85:L$1000,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1</v>
      </c>
      <c r="V84" s="11"/>
    </row>
    <row r="85" spans="1:22" x14ac:dyDescent="0.45">
      <c r="A85" s="3" t="s">
        <v>222</v>
      </c>
      <c r="B85" s="3" t="s">
        <v>343</v>
      </c>
      <c r="D85" s="3">
        <v>1</v>
      </c>
      <c r="E85" s="3">
        <v>0.14000000000000001</v>
      </c>
      <c r="F85" s="3">
        <v>14</v>
      </c>
      <c r="G85" s="3" t="s">
        <v>359</v>
      </c>
      <c r="I85" s="14">
        <f>IFERROR(DATE(MID(G85, FIND(",", G85)+2, 4), MATCH(LEFT(G85, 3), {"Jan","Feb","Mar","Apr","May","Jun","Jul","Aug","Sep","Oct","Nov","Dec"}, 0), MID(G85, 5, FIND(",", G85)-5)) + VALUE(MID(G85, FIND(":", G85)-2, 8)),I86)</f>
        <v>45891.579340277778</v>
      </c>
      <c r="J85" s="60" t="str" cm="1">
        <f t="array" ref="J85">IF(OR(ISNUMBER(SEARCH("C",B85)),ISNUMBER(SEARCH("P",B85))),IF(ISNUMBER(SEARCH("C",B85)),"Call","Put"),IF(AND(E85&lt;&gt;0,OR(C85="option exercised",C85="option assigned"),A85="buy"),_xlfn._xlws.FILTER(B$2:B$100,(LEFT(B$2:B$100,LEN(B85))=B85)*(LEN(B$2:B$100)&gt;LEN(B85))*(K$2:K$100=E85)*(I$2:I$100=I85)*(C$2:C$100=C85)*((C85="option assigned")*(ISNUMBER(SEARCH("P",B$2:B$100)))+(C85="option exercised")*(ISNUMBER(SEARCH("C",B$2:B$100)))),""),""))</f>
        <v>Put</v>
      </c>
      <c r="K85" s="9">
        <f t="shared" si="4"/>
        <v>5.5</v>
      </c>
      <c r="L85" s="5">
        <f t="shared" si="3"/>
        <v>-1</v>
      </c>
      <c r="M85" s="5">
        <f>SUMIF(B85:B$88,B85,L85:L$88)</f>
        <v>-1</v>
      </c>
      <c r="N85" s="9">
        <v>18.594999999999999</v>
      </c>
      <c r="O85" s="10" cm="1">
        <f t="array" ref="O85">IF(F85=0,_xlfn.XLOOKUP(B85,B86:B$89,O86:O$89,0,0,1),IF(_xlfn.XLOOKUP(B85,B86:B$89,M86:M$89,1,0,1)=0,IF(M85&gt;0,(F85+H85)*N85/M85,(F85-H85)*N85/-M85),IF(M85&gt;0,IF(M85&gt;_xlfn.XLOOKUP(B85,B86:B$89,M86:M$89,0,0,1),(_xlfn.XLOOKUP(B85,B86:B$89,O86:O$89,0,0,1)*_xlfn.XLOOKUP(B85,B86:B$89,M86:M$89,0,0,1)+(F85+H85)*N85+IF(_xlfn.XLOOKUP(J85,B86:B$89,J86:J$89,0,0,1)="put",-_xlfn.XLOOKUP(J85,B86:B$89,O86:O$89,0,0,1)*L85/100,_xlfn.XLOOKUP(J85,B86:B$89,O86:O$89,0,0,1)*L85/100))/M85,_xlfn.XLOOKUP(B85,B86:B$89,O86:O$89,,0,1)),IF(M85&lt;0,IF(M85&lt;_xlfn.XLOOKUP(B85,B86:B$89,M86:M$89,0,0,1),(_xlfn.XLOOKUP(B85,B86:B$89,O86:O$89,0,0,1)*_xlfn.XLOOKUP(B85,B86:B$89,M86:M$89,0,0,1)-(F85-H85)*N85)/M85,_xlfn.XLOOKUP(B85,B86:B$89,O85:O$88,,0,1)),0))))</f>
        <v>260.33</v>
      </c>
      <c r="P85" s="10" cm="1">
        <f t="array" ref="P85">IF(_xlfn.XLOOKUP(B85,J$2:J85,J$2:J85,0,0,-1)=B85,0,IF(G85="",-H85*N85,IFERROR(IF(_xlfn.XLOOKUP(B85,B86:B$89,M86:M$89,,0,1)&lt;0,IF(M85&gt;_xlfn.XLOOKUP(B85,B86:B$89,M86:M$89,,0,1),L85*_xlfn.XLOOKUP(B85,B86:B$89,O86:O$89,,0,1)+(-F85-H85)*N85,0),IF(_xlfn.XLOOKUP(B85,B86:B$89,M86:M$89,,0,1)&gt;0,IF(M85&lt;_xlfn.XLOOKUP(B85,B86:B$89,M86:M$89,,0,1),(F85-H85)*N85-_xlfn.XLOOKUP(B85,B86:B$89,O86:O$89,,0,1)*-L85,0),0)),0)))</f>
        <v>0</v>
      </c>
      <c r="Q85" s="56">
        <v>140.86699999999999</v>
      </c>
      <c r="R85" s="56">
        <v>140.78</v>
      </c>
      <c r="S85" s="10" cm="1">
        <f t="array" ref="S85">IF(F85=0,_xlfn.XLOOKUP(B85,B86:B$89,S86:S$89,0,0,1),IF(_xlfn.XLOOKUP(B85,B86:B$89,M86:M$89,1,0,1)=0,IF(M85&gt;0,(F85+H85)*N85/M85,(F85-H85)*N85/-M85),IF(M85&gt;0,IF(M85&gt;_xlfn.XLOOKUP(B85,B86:B$89,M86:M$89,0,0,1),(_xlfn.XLOOKUP(B85,B86:B$89,S86:S$89,0,0,1)*MAX(1,Q85/_xlfn.XLOOKUP(B85,B86:B$89,Q86:Q$89,Q85,0,1))*_xlfn.XLOOKUP(B85,B86:B$89,M86:M$89,0,0,1)+(F85+H85)*N85+IF(_xlfn.XLOOKUP(J85,B86:B$89,J86:J$89,0,0,1)="put",-_xlfn.XLOOKUP(J85,B86:B$89,S86:S$89,0,0,1)*L85/100,_xlfn.XLOOKUP(J85,B86:B$89,S86:S$89,0,0,1)*L85/100))/M85,_xlfn.XLOOKUP(B85,B86:B$89,S86:S$89,,0,1)*MAX(1,Q85/_xlfn.XLOOKUP(B85,B86:B$89,Q86:Q$89,Q85,0,1))),IF(M85&lt;0,IF(M85&lt;_xlfn.XLOOKUP(B85,B86:B$89,M86:M$89,0,0,1),(_xlfn.XLOOKUP(B85,B86:B$89,S86:S$89,0,0,1)*_xlfn.XLOOKUP(B85,B86:B$89,M86:M$89,0,0,1)-(F85-H85)*N85)/M85,_xlfn.XLOOKUP(B85,B86:B$89,S86:S$89,,0,1)),0))))</f>
        <v>260.33</v>
      </c>
      <c r="T85" s="59" cm="1">
        <f t="array" ref="T85">IF(_xlfn.XLOOKUP(B85,J$2:J85,J$2:J85,0,0,-1)=B85,0,IF(G85="",-H85*N85,IFERROR(IF(_xlfn.XLOOKUP(B85,B86:B$89,M86:M$89,,0,1)&lt;0,IF(M85&gt;_xlfn.XLOOKUP(B85,B86:B$89,M86:M$89,,0,1),L85*_xlfn.XLOOKUP(B85,B86:B$89,S86:S$89,,0,1)+(-F85-H85)*N85,0),IF(_xlfn.XLOOKUP(B85,B86:B$89,M86:M$89,,0,1)&gt;0,IF(M85&lt;_xlfn.XLOOKUP(B85,B86:B$89,M86:M$89,,0,1),(F85-H85)*N85-_xlfn.XLOOKUP(B85,B86:B$89,S86:S$89,,0,1)*-L85*MAX(1,R85/_xlfn.XLOOKUP(B85,B86:B$89,Q86:Q$89,R85,0,1)),0),0)),0)))</f>
        <v>0</v>
      </c>
      <c r="U85" s="56" t="str" cm="1">
        <f t="array" ref="U85">IF(AND(OR(J85="call",J85="put"),T85&lt;&gt;0),1,IF(T85=0,"-",IF(L85&lt;0, _xlfn.LET(_xlpm.v_cant, ABS(L85), _xlpm.v_fecha, I85, _xlpm.v_ticker, B85, _xlpm.rango_f, I86:I$1000, _xlpm.rango_t, L86:L$1000, _xlpm.filtro, B86:B$1000=_xlpm.v_ticker, _xlpm.c_fechas, _xlfn._xlws.FILTER(_xlpm.rango_f, _xlpm.filtro*(_xlpm.rango_t&gt;0), _xlpm.v_fecha), _xlpm.c_cants, _xlfn._xlws.FILTER(_xlpm.rango_t, _xlpm.filtro*(_xlpm.rango_t&gt;0), 0), _xlpm.v_acums_pasadas, ABS(SUMIFS(L86:L$1000, B86:B$1000, _xlpm.v_ticker, L86:L$1000,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5" s="11"/>
    </row>
    <row r="86" spans="1:22" x14ac:dyDescent="0.45">
      <c r="A86" s="3" t="s">
        <v>224</v>
      </c>
      <c r="B86" s="3" t="s">
        <v>345</v>
      </c>
      <c r="D86" s="3">
        <v>1</v>
      </c>
      <c r="E86" s="3">
        <v>0.33</v>
      </c>
      <c r="F86" s="3">
        <v>33</v>
      </c>
      <c r="G86" s="3" t="s">
        <v>359</v>
      </c>
      <c r="I86" s="14">
        <f>IFERROR(DATE(MID(G86, FIND(",", G86)+2, 4), MATCH(LEFT(G86, 3), {"Jan","Feb","Mar","Apr","May","Jun","Jul","Aug","Sep","Oct","Nov","Dec"}, 0), MID(G86, 5, FIND(",", G86)-5)) + VALUE(MID(G86, FIND(":", G86)-2, 8)),I87)</f>
        <v>45891.579340277778</v>
      </c>
      <c r="J86" s="60" t="str" cm="1">
        <f t="array" ref="J86">IF(OR(ISNUMBER(SEARCH("C",B86)),ISNUMBER(SEARCH("P",B86))),IF(ISNUMBER(SEARCH("C",B86)),"Call","Put"),IF(AND(E86&lt;&gt;0,OR(C86="option exercised",C86="option assigned"),A86="buy"),_xlfn._xlws.FILTER(B$2:B$100,(LEFT(B$2:B$100,LEN(B86))=B86)*(LEN(B$2:B$100)&gt;LEN(B86))*(K$2:K$100=E86)*(I$2:I$100=I86)*(C$2:C$100=C86)*((C86="option assigned")*(ISNUMBER(SEARCH("P",B$2:B$100)))+(C86="option exercised")*(ISNUMBER(SEARCH("C",B$2:B$100)))),""),""))</f>
        <v>Put</v>
      </c>
      <c r="K86" s="9">
        <f t="shared" si="4"/>
        <v>6</v>
      </c>
      <c r="L86" s="5">
        <f t="shared" si="3"/>
        <v>1</v>
      </c>
      <c r="M86" s="5">
        <f>SUMIF(B86:B$88,B86,L86:L$88)</f>
        <v>1</v>
      </c>
      <c r="N86" s="9">
        <v>18.594999999999999</v>
      </c>
      <c r="O86" s="10" cm="1">
        <f t="array" ref="O86">IF(F86=0,_xlfn.XLOOKUP(B86,B87:B$89,O87:O$89,0,0,1),IF(_xlfn.XLOOKUP(B86,B87:B$89,M87:M$89,1,0,1)=0,IF(M86&gt;0,(F86+H86)*N86/M86,(F86-H86)*N86/-M86),IF(M86&gt;0,IF(M86&gt;_xlfn.XLOOKUP(B86,B87:B$89,M87:M$89,0,0,1),(_xlfn.XLOOKUP(B86,B87:B$89,O87:O$89,0,0,1)*_xlfn.XLOOKUP(B86,B87:B$89,M87:M$89,0,0,1)+(F86+H86)*N86+IF(_xlfn.XLOOKUP(J86,B87:B$89,J87:J$89,0,0,1)="put",-_xlfn.XLOOKUP(J86,B87:B$89,O87:O$89,0,0,1)*L86/100,_xlfn.XLOOKUP(J86,B87:B$89,O87:O$89,0,0,1)*L86/100))/M86,_xlfn.XLOOKUP(B86,B87:B$89,O87:O$89,,0,1)),IF(M86&lt;0,IF(M86&lt;_xlfn.XLOOKUP(B86,B87:B$89,M87:M$89,0,0,1),(_xlfn.XLOOKUP(B86,B87:B$89,O87:O$89,0,0,1)*_xlfn.XLOOKUP(B86,B87:B$89,M87:M$89,0,0,1)-(F86-H86)*N86)/M86,_xlfn.XLOOKUP(B86,B87:B$89,O86:O$88,,0,1)),0))))</f>
        <v>613.63499999999999</v>
      </c>
      <c r="P86" s="10" cm="1">
        <f t="array" ref="P86">IF(_xlfn.XLOOKUP(B86,J$2:J86,J$2:J86,0,0,-1)=B86,0,IF(G86="",-H86*N86,IFERROR(IF(_xlfn.XLOOKUP(B86,B87:B$89,M87:M$89,,0,1)&lt;0,IF(M86&gt;_xlfn.XLOOKUP(B86,B87:B$89,M87:M$89,,0,1),L86*_xlfn.XLOOKUP(B86,B87:B$89,O87:O$89,,0,1)+(-F86-H86)*N86,0),IF(_xlfn.XLOOKUP(B86,B87:B$89,M87:M$89,,0,1)&gt;0,IF(M86&lt;_xlfn.XLOOKUP(B86,B87:B$89,M87:M$89,,0,1),(F86-H86)*N86-_xlfn.XLOOKUP(B86,B87:B$89,O87:O$89,,0,1)*-L86,0),0)),0)))</f>
        <v>0</v>
      </c>
      <c r="Q86" s="56">
        <v>140.86699999999999</v>
      </c>
      <c r="R86" s="56">
        <v>140.78</v>
      </c>
      <c r="S86" s="10" cm="1">
        <f t="array" ref="S86">IF(F86=0,_xlfn.XLOOKUP(B86,B87:B$89,S87:S$89,0,0,1),IF(_xlfn.XLOOKUP(B86,B87:B$89,M87:M$89,1,0,1)=0,IF(M86&gt;0,(F86+H86)*N86/M86,(F86-H86)*N86/-M86),IF(M86&gt;0,IF(M86&gt;_xlfn.XLOOKUP(B86,B87:B$89,M87:M$89,0,0,1),(_xlfn.XLOOKUP(B86,B87:B$89,S87:S$89,0,0,1)*MAX(1,Q86/_xlfn.XLOOKUP(B86,B87:B$89,Q87:Q$89,Q86,0,1))*_xlfn.XLOOKUP(B86,B87:B$89,M87:M$89,0,0,1)+(F86+H86)*N86+IF(_xlfn.XLOOKUP(J86,B87:B$89,J87:J$89,0,0,1)="put",-_xlfn.XLOOKUP(J86,B87:B$89,S87:S$89,0,0,1)*L86/100,_xlfn.XLOOKUP(J86,B87:B$89,S87:S$89,0,0,1)*L86/100))/M86,_xlfn.XLOOKUP(B86,B87:B$89,S87:S$89,,0,1)*MAX(1,Q86/_xlfn.XLOOKUP(B86,B87:B$89,Q87:Q$89,Q86,0,1))),IF(M86&lt;0,IF(M86&lt;_xlfn.XLOOKUP(B86,B87:B$89,M87:M$89,0,0,1),(_xlfn.XLOOKUP(B86,B87:B$89,S87:S$89,0,0,1)*_xlfn.XLOOKUP(B86,B87:B$89,M87:M$89,0,0,1)-(F86-H86)*N86)/M86,_xlfn.XLOOKUP(B86,B87:B$89,S87:S$89,,0,1)),0))))</f>
        <v>613.63499999999999</v>
      </c>
      <c r="T86" s="59" cm="1">
        <f t="array" ref="T86">IF(_xlfn.XLOOKUP(B86,J$2:J86,J$2:J86,0,0,-1)=B86,0,IF(G86="",-H86*N86,IFERROR(IF(_xlfn.XLOOKUP(B86,B87:B$89,M87:M$89,,0,1)&lt;0,IF(M86&gt;_xlfn.XLOOKUP(B86,B87:B$89,M87:M$89,,0,1),L86*_xlfn.XLOOKUP(B86,B87:B$89,S87:S$89,,0,1)+(-F86-H86)*N86,0),IF(_xlfn.XLOOKUP(B86,B87:B$89,M87:M$89,,0,1)&gt;0,IF(M86&lt;_xlfn.XLOOKUP(B86,B87:B$89,M87:M$89,,0,1),(F86-H86)*N86-_xlfn.XLOOKUP(B86,B87:B$89,S87:S$89,,0,1)*-L86*MAX(1,R86/_xlfn.XLOOKUP(B86,B87:B$89,Q87:Q$89,R86,0,1)),0),0)),0)))</f>
        <v>0</v>
      </c>
      <c r="U86" s="56" t="str" cm="1">
        <f t="array" ref="U86">IF(AND(OR(J86="call",J86="put"),T86&lt;&gt;0),1,IF(T86=0,"-",IF(L86&lt;0, _xlfn.LET(_xlpm.v_cant, ABS(L86), _xlpm.v_fecha, I86, _xlpm.v_ticker, B86, _xlpm.rango_f, I87:I$1000, _xlpm.rango_t, L87:L$1000, _xlpm.filtro, B87:B$1000=_xlpm.v_ticker, _xlpm.c_fechas, _xlfn._xlws.FILTER(_xlpm.rango_f, _xlpm.filtro*(_xlpm.rango_t&gt;0), _xlpm.v_fecha), _xlpm.c_cants, _xlfn._xlws.FILTER(_xlpm.rango_t, _xlpm.filtro*(_xlpm.rango_t&gt;0), 0), _xlpm.v_acums_pasadas, ABS(SUMIFS(L87:L$1000, B87:B$1000, _xlpm.v_ticker, L87:L$1000,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6" s="11"/>
    </row>
    <row r="87" spans="1:22" x14ac:dyDescent="0.45">
      <c r="A87" s="3" t="s">
        <v>224</v>
      </c>
      <c r="B87" s="3" t="s">
        <v>346</v>
      </c>
      <c r="D87" s="3">
        <v>1</v>
      </c>
      <c r="E87" s="3">
        <v>0.5</v>
      </c>
      <c r="F87" s="3">
        <v>50</v>
      </c>
      <c r="G87" s="3" t="s">
        <v>359</v>
      </c>
      <c r="I87" s="14">
        <f>IFERROR(DATE(MID(G87, FIND(",", G87)+2, 4), MATCH(LEFT(G87, 3), {"Jan","Feb","Mar","Apr","May","Jun","Jul","Aug","Sep","Oct","Nov","Dec"}, 0), MID(G87, 5, FIND(",", G87)-5)) + VALUE(MID(G87, FIND(":", G87)-2, 8)),I88)</f>
        <v>45891.579340277778</v>
      </c>
      <c r="J87" s="60" t="str" cm="1">
        <f t="array" ref="J87">IF(OR(ISNUMBER(SEARCH("C",B87)),ISNUMBER(SEARCH("P",B87))),IF(ISNUMBER(SEARCH("C",B87)),"Call","Put"),IF(AND(E87&lt;&gt;0,OR(C87="option exercised",C87="option assigned"),A87="buy"),_xlfn._xlws.FILTER(B$2:B$100,(LEFT(B$2:B$100,LEN(B87))=B87)*(LEN(B$2:B$100)&gt;LEN(B87))*(K$2:K$100=E87)*(I$2:I$100=I87)*(C$2:C$100=C87)*((C87="option assigned")*(ISNUMBER(SEARCH("P",B$2:B$100)))+(C87="option exercised")*(ISNUMBER(SEARCH("C",B$2:B$100)))),""),""))</f>
        <v>Call</v>
      </c>
      <c r="K87" s="9">
        <f t="shared" si="4"/>
        <v>6.5</v>
      </c>
      <c r="L87" s="5">
        <f t="shared" si="3"/>
        <v>1</v>
      </c>
      <c r="M87" s="5">
        <f>SUMIF(B87:B$88,B87,L87:L$88)</f>
        <v>1</v>
      </c>
      <c r="N87" s="9">
        <v>18.594999999999999</v>
      </c>
      <c r="O87" s="10" cm="1">
        <f t="array" ref="O87">IF(F87=0,_xlfn.XLOOKUP(B87,B88:B$89,O88:O$89,0,0,1),IF(_xlfn.XLOOKUP(B87,B88:B$89,M88:M$89,1,0,1)=0,IF(M87&gt;0,(F87+H87)*N87/M87,(F87-H87)*N87/-M87),IF(M87&gt;0,IF(M87&gt;_xlfn.XLOOKUP(B87,B88:B$89,M88:M$89,0,0,1),(_xlfn.XLOOKUP(B87,B88:B$89,O88:O$89,0,0,1)*_xlfn.XLOOKUP(B87,B88:B$89,M88:M$89,0,0,1)+(F87+H87)*N87+IF(_xlfn.XLOOKUP(J87,B88:B$89,J88:J$89,0,0,1)="put",-_xlfn.XLOOKUP(J87,B88:B$89,O88:O$89,0,0,1)*L87/100,_xlfn.XLOOKUP(J87,B88:B$89,O88:O$89,0,0,1)*L87/100))/M87,_xlfn.XLOOKUP(B87,B88:B$89,O88:O$89,,0,1)),IF(M87&lt;0,IF(M87&lt;_xlfn.XLOOKUP(B87,B88:B$89,M88:M$89,0,0,1),(_xlfn.XLOOKUP(B87,B88:B$89,O88:O$89,0,0,1)*_xlfn.XLOOKUP(B87,B88:B$89,M88:M$89,0,0,1)-(F87-H87)*N87)/M87,_xlfn.XLOOKUP(B87,B88:B$89,O87:O$88,,0,1)),0))))</f>
        <v>929.75</v>
      </c>
      <c r="P87" s="10" cm="1">
        <f t="array" ref="P87">IF(_xlfn.XLOOKUP(B87,J$2:J87,J$2:J87,0,0,-1)=B87,0,IF(G87="",-H87*N87,IFERROR(IF(_xlfn.XLOOKUP(B87,B88:B$89,M88:M$89,,0,1)&lt;0,IF(M87&gt;_xlfn.XLOOKUP(B87,B88:B$89,M88:M$89,,0,1),L87*_xlfn.XLOOKUP(B87,B88:B$89,O88:O$89,,0,1)+(-F87-H87)*N87,0),IF(_xlfn.XLOOKUP(B87,B88:B$89,M88:M$89,,0,1)&gt;0,IF(M87&lt;_xlfn.XLOOKUP(B87,B88:B$89,M88:M$89,,0,1),(F87-H87)*N87-_xlfn.XLOOKUP(B87,B88:B$89,O88:O$89,,0,1)*-L87,0),0)),0)))</f>
        <v>0</v>
      </c>
      <c r="Q87" s="56">
        <v>140.86699999999999</v>
      </c>
      <c r="R87" s="56">
        <v>140.78</v>
      </c>
      <c r="S87" s="10" cm="1">
        <f t="array" ref="S87">IF(F87=0,_xlfn.XLOOKUP(B87,B88:B$89,S88:S$89,0,0,1),IF(_xlfn.XLOOKUP(B87,B88:B$89,M88:M$89,1,0,1)=0,IF(M87&gt;0,(F87+H87)*N87/M87,(F87-H87)*N87/-M87),IF(M87&gt;0,IF(M87&gt;_xlfn.XLOOKUP(B87,B88:B$89,M88:M$89,0,0,1),(_xlfn.XLOOKUP(B87,B88:B$89,S88:S$89,0,0,1)*MAX(1,Q87/_xlfn.XLOOKUP(B87,B88:B$89,Q88:Q$89,Q87,0,1))*_xlfn.XLOOKUP(B87,B88:B$89,M88:M$89,0,0,1)+(F87+H87)*N87+IF(_xlfn.XLOOKUP(J87,B88:B$89,J88:J$89,0,0,1)="put",-_xlfn.XLOOKUP(J87,B88:B$89,S88:S$89,0,0,1)*L87/100,_xlfn.XLOOKUP(J87,B88:B$89,S88:S$89,0,0,1)*L87/100))/M87,_xlfn.XLOOKUP(B87,B88:B$89,S88:S$89,,0,1)*MAX(1,Q87/_xlfn.XLOOKUP(B87,B88:B$89,Q88:Q$89,Q87,0,1))),IF(M87&lt;0,IF(M87&lt;_xlfn.XLOOKUP(B87,B88:B$89,M88:M$89,0,0,1),(_xlfn.XLOOKUP(B87,B88:B$89,S88:S$89,0,0,1)*_xlfn.XLOOKUP(B87,B88:B$89,M88:M$89,0,0,1)-(F87-H87)*N87)/M87,_xlfn.XLOOKUP(B87,B88:B$89,S88:S$89,,0,1)),0))))</f>
        <v>929.75</v>
      </c>
      <c r="T87" s="59" cm="1">
        <f t="array" ref="T87">IF(_xlfn.XLOOKUP(B87,J$2:J87,J$2:J87,0,0,-1)=B87,0,IF(G87="",-H87*N87,IFERROR(IF(_xlfn.XLOOKUP(B87,B88:B$89,M88:M$89,,0,1)&lt;0,IF(M87&gt;_xlfn.XLOOKUP(B87,B88:B$89,M88:M$89,,0,1),L87*_xlfn.XLOOKUP(B87,B88:B$89,S88:S$89,,0,1)+(-F87-H87)*N87,0),IF(_xlfn.XLOOKUP(B87,B88:B$89,M88:M$89,,0,1)&gt;0,IF(M87&lt;_xlfn.XLOOKUP(B87,B88:B$89,M88:M$89,,0,1),(F87-H87)*N87-_xlfn.XLOOKUP(B87,B88:B$89,S88:S$89,,0,1)*-L87*MAX(1,R87/_xlfn.XLOOKUP(B87,B88:B$89,Q88:Q$89,R87,0,1)),0),0)),0)))</f>
        <v>0</v>
      </c>
      <c r="U87" s="56" t="str" cm="1">
        <f t="array" ref="U87">IF(AND(OR(J87="call",J87="put"),T87&lt;&gt;0),1,IF(T87=0,"-",IF(L87&lt;0, _xlfn.LET(_xlpm.v_cant, ABS(L87), _xlpm.v_fecha, I87, _xlpm.v_ticker, B87, _xlpm.rango_f, I88:I$1000, _xlpm.rango_t, L88:L$1000, _xlpm.filtro, B88:B$1000=_xlpm.v_ticker, _xlpm.c_fechas, _xlfn._xlws.FILTER(_xlpm.rango_f, _xlpm.filtro*(_xlpm.rango_t&gt;0), _xlpm.v_fecha), _xlpm.c_cants, _xlfn._xlws.FILTER(_xlpm.rango_t, _xlpm.filtro*(_xlpm.rango_t&gt;0), 0), _xlpm.v_acums_pasadas, ABS(SUMIFS(L88:L$1000, B88:B$1000, _xlpm.v_ticker, L88:L$1000,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7" s="11"/>
    </row>
    <row r="88" spans="1:22" x14ac:dyDescent="0.45">
      <c r="A88" s="3" t="s">
        <v>222</v>
      </c>
      <c r="B88" s="3" t="s">
        <v>347</v>
      </c>
      <c r="D88" s="3">
        <v>1</v>
      </c>
      <c r="E88" s="3">
        <v>0.34</v>
      </c>
      <c r="F88" s="3">
        <v>34</v>
      </c>
      <c r="G88" s="3" t="s">
        <v>359</v>
      </c>
      <c r="I88" s="14">
        <f>IFERROR(DATE(MID(G88, FIND(",", G88)+2, 4), MATCH(LEFT(G88, 3), {"Jan","Feb","Mar","Apr","May","Jun","Jul","Aug","Sep","Oct","Nov","Dec"}, 0), MID(G88, 5, FIND(",", G88)-5)) + VALUE(MID(G88, FIND(":", G88)-2, 8)),I89)</f>
        <v>45891.579340277778</v>
      </c>
      <c r="J88" s="60" t="str" cm="1">
        <f t="array" ref="J88">IF(OR(ISNUMBER(SEARCH("C",B88)),ISNUMBER(SEARCH("P",B88))),IF(ISNUMBER(SEARCH("C",B88)),"Call","Put"),IF(AND(E88&lt;&gt;0,OR(C88="option exercised",C88="option assigned"),A88="buy"),_xlfn._xlws.FILTER(B$2:B$100,(LEFT(B$2:B$100,LEN(B88))=B88)*(LEN(B$2:B$100)&gt;LEN(B88))*(K$2:K$100=E88)*(I$2:I$100=I88)*(C$2:C$100=C88)*((C88="option assigned")*(ISNUMBER(SEARCH("P",B$2:B$100)))+(C88="option exercised")*(ISNUMBER(SEARCH("C",B$2:B$100)))),""),""))</f>
        <v>Call</v>
      </c>
      <c r="K88" s="9">
        <f t="shared" si="4"/>
        <v>7</v>
      </c>
      <c r="L88" s="5">
        <f t="shared" si="3"/>
        <v>-1</v>
      </c>
      <c r="M88" s="5">
        <f>SUMIF(B88:B$88,B88,L88:L$88)</f>
        <v>-1</v>
      </c>
      <c r="N88" s="9">
        <v>18.594999999999999</v>
      </c>
      <c r="O88" s="10" cm="1">
        <f t="array" ref="O88">IF(F88=0,_xlfn.XLOOKUP(B88,B89:B$89,O89:O$89,0,0,1),IF(_xlfn.XLOOKUP(B88,B89:B$89,M89:M$89,1,0,1)=0,IF(M88&gt;0,(F88+H88)*N88/M88,(F88-H88)*N88/-M88),IF(M88&gt;0,IF(M88&gt;_xlfn.XLOOKUP(B88,B89:B$89,M89:M$89,0,0,1),(_xlfn.XLOOKUP(B88,B89:B$89,O89:O$89,0,0,1)*_xlfn.XLOOKUP(B88,B89:B$89,M89:M$89,0,0,1)+(F88+H88)*N88+IF(_xlfn.XLOOKUP(J88,B89:B$89,J89:J$89,0,0,1)="put",-_xlfn.XLOOKUP(J88,B89:B$89,O89:O$89,0,0,1)*L88/100,_xlfn.XLOOKUP(J88,B89:B$89,O89:O$89,0,0,1)*L88/100))/M88,_xlfn.XLOOKUP(B88,B89:B$89,O89:O$89,,0,1)),IF(M88&lt;0,IF(M88&lt;_xlfn.XLOOKUP(B88,B89:B$89,M89:M$89,0,0,1),(_xlfn.XLOOKUP(B88,B89:B$89,O89:O$89,0,0,1)*_xlfn.XLOOKUP(B88,B89:B$89,M89:M$89,0,0,1)-(F88-H88)*N88)/M88,_xlfn.XLOOKUP(B88,B89:B$89,O88:O$88,,0,1)),0))))</f>
        <v>632.23</v>
      </c>
      <c r="P88" s="10" cm="1">
        <f t="array" ref="P88">IF(_xlfn.XLOOKUP(B88,J$2:J88,J$2:J88,0,0,-1)=B88,0,IF(G88="",-H88*N88,IFERROR(IF(_xlfn.XLOOKUP(B88,B89:B$89,M89:M$89,,0,1)&lt;0,IF(M88&gt;_xlfn.XLOOKUP(B88,B89:B$89,M89:M$89,,0,1),L88*_xlfn.XLOOKUP(B88,B89:B$89,O89:O$89,,0,1)+(-F88-H88)*N88,0),IF(_xlfn.XLOOKUP(B88,B89:B$89,M89:M$89,,0,1)&gt;0,IF(M88&lt;_xlfn.XLOOKUP(B88,B89:B$89,M89:M$89,,0,1),(F88-H88)*N88-_xlfn.XLOOKUP(B88,B89:B$89,O89:O$89,,0,1)*-L88,0),0)),0)))</f>
        <v>0</v>
      </c>
      <c r="Q88" s="56">
        <v>140.86699999999999</v>
      </c>
      <c r="R88" s="56">
        <v>140.78</v>
      </c>
      <c r="S88" s="10" cm="1">
        <f t="array" ref="S88">IF(F88=0,_xlfn.XLOOKUP(B88,B89:B$89,S89:S$89,0,0,1),IF(_xlfn.XLOOKUP(B88,B89:B$89,M89:M$89,1,0,1)=0,IF(M88&gt;0,(F88+H88)*N88/M88,(F88-H88)*N88/-M88),IF(M88&gt;0,IF(M88&gt;_xlfn.XLOOKUP(B88,B89:B$89,M89:M$89,0,0,1),(_xlfn.XLOOKUP(B88,B89:B$89,S89:S$89,0,0,1)*MAX(1,Q88/_xlfn.XLOOKUP(B88,B89:B$89,Q89:Q$89,Q88,0,1))*_xlfn.XLOOKUP(B88,B89:B$89,M89:M$89,0,0,1)+(F88+H88)*N88+IF(_xlfn.XLOOKUP(J88,B89:B$89,J89:J$89,0,0,1)="put",-_xlfn.XLOOKUP(J88,B89:B$89,S89:S$89,0,0,1)*L88/100,_xlfn.XLOOKUP(J88,B89:B$89,S89:S$89,0,0,1)*L88/100))/M88,_xlfn.XLOOKUP(B88,B89:B$89,S89:S$89,,0,1)*MAX(1,Q88/_xlfn.XLOOKUP(B88,B89:B$89,Q89:Q$89,Q88,0,1))),IF(M88&lt;0,IF(M88&lt;_xlfn.XLOOKUP(B88,B89:B$89,M89:M$89,0,0,1),(_xlfn.XLOOKUP(B88,B89:B$89,S89:S$89,0,0,1)*_xlfn.XLOOKUP(B88,B89:B$89,M89:M$89,0,0,1)-(F88-H88)*N88)/M88,_xlfn.XLOOKUP(B88,B89:B$89,S89:S$89,,0,1)),0))))</f>
        <v>632.23</v>
      </c>
      <c r="T88" s="59" cm="1">
        <f t="array" ref="T88">IF(_xlfn.XLOOKUP(B88,J$2:J88,J$2:J88,0,0,-1)=B88,0,IF(G88="",-H88*N88,IFERROR(IF(_xlfn.XLOOKUP(B88,B89:B$89,M89:M$89,,0,1)&lt;0,IF(M88&gt;_xlfn.XLOOKUP(B88,B89:B$89,M89:M$89,,0,1),L88*_xlfn.XLOOKUP(B88,B89:B$89,S89:S$89,,0,1)+(-F88-H88)*N88,0),IF(_xlfn.XLOOKUP(B88,B89:B$89,M89:M$89,,0,1)&gt;0,IF(M88&lt;_xlfn.XLOOKUP(B88,B89:B$89,M89:M$89,,0,1),(F88-H88)*N88-_xlfn.XLOOKUP(B88,B89:B$89,S89:S$89,,0,1)*-L88*MAX(1,R88/_xlfn.XLOOKUP(B88,B89:B$89,Q89:Q$89,R88,0,1)),0),0)),0)))</f>
        <v>0</v>
      </c>
      <c r="U88" s="56" t="str" cm="1">
        <f t="array" ref="U88">IF(AND(OR(J88="call",J88="put"),T88&lt;&gt;0),1,IF(T88=0,"-",IF(L88&lt;0, _xlfn.LET(_xlpm.v_cant, ABS(L88), _xlpm.v_fecha, I88, _xlpm.v_ticker, B88, _xlpm.rango_f, I89:I$1000, _xlpm.rango_t, L89:L$1000, _xlpm.filtro, B89:B$1000=_xlpm.v_ticker, _xlpm.c_fechas, _xlfn._xlws.FILTER(_xlpm.rango_f, _xlpm.filtro*(_xlpm.rango_t&gt;0), _xlpm.v_fecha), _xlpm.c_cants, _xlfn._xlws.FILTER(_xlpm.rango_t, _xlpm.filtro*(_xlpm.rango_t&gt;0), 0), _xlpm.v_acums_pasadas, ABS(SUMIFS(L89:L$1000, B89:B$1000, _xlpm.v_ticker, L89:L$1000, "&lt;0")), _xlpm.n_compras, ROWS(_xlpm.c_cants), _xlpm.c_acums, _xlfn.SCAN(0, _xlfn.SEQUENCE(_xlpm.n_compras), _xlfn.LAMBDA(_xlpm.a,_xlpm.i, _xlpm.a + INDEX(_xlpm.c_cants, _xlpm.n_compras - _xlpm.i + 1))), _xlpm.pond, _xlfn.MAP(_xlfn.SEQUENCE(_xlpm.n_compras), _xlfn.LAMBDA(_xlpm.i, _xlfn.LET(_xlpm.idx_rev, _xlpm.n_compras - _xlpm.i + 1, _xlpm.cf, INDEX(_xlpm.c_fechas, _xlpm.idx_rev), _xlpm.cc, INDEX(_xlpm.c_cants, _xlpm.idx_rev), _xlpm.ca, INDEX(_xlpm.c_acums, _xlpm.i), _xlpm.ca_ant, _xlpm.ca - _xlpm.cc, _xlpm.inicio, MAX(_xlpm.ca_ant, _xlpm.v_acums_pasadas), _xlpm.fin, MIN(_xlpm.ca, _xlpm.v_acums_pasadas + _xlpm.v_cant), _xlpm.t_tomados, MAX(0, _xlpm.fin - _xlpm.inicio), _xlpm.años, INT(MAX(1, DATEDIF(_xlpm.cf, _xlpm.v_fecha, "Y"))), _xlpm.t_tomados * _xlpm.años ))), INT(SUM(_xlpm.pond) / _xlpm.v_cant) ), "-")))</f>
        <v>-</v>
      </c>
      <c r="V88" s="11"/>
    </row>
  </sheetData>
  <autoFilter ref="A1:P88" xr:uid="{81015D73-859D-4E6A-82F1-AE4123205008}"/>
  <conditionalFormatting sqref="T1:T1048576">
    <cfRule type="cellIs" dxfId="1" priority="1" operator="lessThan">
      <formula>0</formula>
    </cfRule>
  </conditionalFormatting>
  <pageMargins left="0.7" right="0.7" top="0.75" bottom="0.75" header="0.3" footer="0.3"/>
  <ignoredErrors>
    <ignoredError sqref="T2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FDDB0-D42E-445F-95DD-D00C16A584AD}">
  <sheetPr>
    <tabColor theme="1" tint="0.34998626667073579"/>
  </sheetPr>
  <dimension ref="A1:K39"/>
  <sheetViews>
    <sheetView showGridLines="0" showRowColHeaders="0" workbookViewId="0">
      <selection activeCell="A6" sqref="A6"/>
    </sheetView>
  </sheetViews>
  <sheetFormatPr baseColWidth="10" defaultRowHeight="16" x14ac:dyDescent="0.45"/>
  <cols>
    <col min="1" max="1" width="22.36328125" style="3" customWidth="1"/>
    <col min="2" max="2" width="23.54296875" style="3" customWidth="1"/>
    <col min="3" max="5" width="11" style="3" bestFit="1" customWidth="1"/>
    <col min="6" max="6" width="11" style="3" customWidth="1"/>
    <col min="7" max="9" width="11" style="5" bestFit="1" customWidth="1"/>
    <col min="10" max="10" width="12.08984375" style="10" customWidth="1"/>
    <col min="11" max="11" width="13.08984375" style="10" customWidth="1"/>
    <col min="12" max="16384" width="10.90625" style="3"/>
  </cols>
  <sheetData>
    <row r="1" spans="1:11" s="6" customFormat="1" ht="42.5" customHeight="1" x14ac:dyDescent="0.35">
      <c r="A1" s="7" t="s">
        <v>218</v>
      </c>
      <c r="B1" s="7" t="s">
        <v>360</v>
      </c>
      <c r="C1" s="7" t="s">
        <v>2</v>
      </c>
      <c r="D1" s="7" t="s">
        <v>361</v>
      </c>
      <c r="E1" s="7" t="s">
        <v>362</v>
      </c>
      <c r="F1" s="7" t="s">
        <v>536</v>
      </c>
      <c r="G1" s="22" t="s">
        <v>279</v>
      </c>
      <c r="H1" s="17" t="s">
        <v>215</v>
      </c>
      <c r="I1" s="17" t="s">
        <v>363</v>
      </c>
      <c r="J1" s="17" t="s">
        <v>394</v>
      </c>
      <c r="K1" s="17" t="s">
        <v>523</v>
      </c>
    </row>
    <row r="2" spans="1:11" x14ac:dyDescent="0.45">
      <c r="A2" s="3" t="s">
        <v>241</v>
      </c>
      <c r="B2" s="3" t="s">
        <v>364</v>
      </c>
      <c r="C2" s="3">
        <v>100</v>
      </c>
      <c r="D2" s="3">
        <v>-2000</v>
      </c>
      <c r="E2" s="3">
        <v>0</v>
      </c>
      <c r="F2" s="3">
        <v>0</v>
      </c>
      <c r="G2" s="14">
        <f t="shared" ref="G2:G39" si="0">DATEVALUE(LEFT(B2,10))</f>
        <v>46122</v>
      </c>
      <c r="H2" s="5">
        <v>17.3033</v>
      </c>
      <c r="I2" s="5">
        <f>SUMIFS(C2:C$40,A2:A$40,A2,B2:B$40,"*")</f>
        <v>100</v>
      </c>
      <c r="J2" s="59">
        <f>(D2+E2)*H2</f>
        <v>-34606.6</v>
      </c>
      <c r="K2" s="63" cm="1">
        <f t="array" aca="1" ref="K2" ca="1">IF(_xlfn.XLOOKUP(A2,A1:A$2,K1:K$2,0,0,1)&lt;&gt;0,0,IF(SUMIF(A$2:A$39,A2,F$2:F$39)&lt;&gt;0,_xlfn.XLOOKUP(A2,A$2:A$39,J$2:J$39,0,0,1)+_xlfn.XLOOKUP(A2,A$2:A$39,J$2:J$39,0,0,-1),0))</f>
        <v>0</v>
      </c>
    </row>
    <row r="3" spans="1:11" x14ac:dyDescent="0.45">
      <c r="A3" s="3" t="s">
        <v>225</v>
      </c>
      <c r="B3" s="3" t="s">
        <v>365</v>
      </c>
      <c r="C3" s="3">
        <v>50</v>
      </c>
      <c r="D3" s="3">
        <v>-52.3</v>
      </c>
      <c r="E3" s="3">
        <v>-4</v>
      </c>
      <c r="F3" s="3">
        <v>0</v>
      </c>
      <c r="G3" s="14">
        <f t="shared" si="0"/>
        <v>46140</v>
      </c>
      <c r="H3" s="5">
        <v>17.402999999999999</v>
      </c>
      <c r="I3" s="5">
        <f>SUMIFS(C3:C$40,A3:A$40,A3,B3:B$40,"*")</f>
        <v>150</v>
      </c>
      <c r="J3" s="59">
        <f t="shared" ref="J3:J39" si="1">(D3+E3)*H3</f>
        <v>-979.7888999999999</v>
      </c>
      <c r="K3" s="63" cm="1">
        <f t="array" ref="K3">IF(_xlfn.XLOOKUP(A3,A2:A$2,K2:K$2,0,0,1)&lt;&gt;0,0,IF(SUMIF(A$2:A$39,A3,F$2:F$39)&lt;&gt;0,_xlfn.XLOOKUP(A3,A$2:A$39,J$2:J$39,0,0,1)+_xlfn.XLOOKUP(A3,A$2:A$39,J$2:J$39,0,0,-1),0))</f>
        <v>0</v>
      </c>
    </row>
    <row r="4" spans="1:11" x14ac:dyDescent="0.45">
      <c r="A4" s="3" t="s">
        <v>225</v>
      </c>
      <c r="B4" s="3" t="s">
        <v>366</v>
      </c>
      <c r="C4" s="3">
        <v>100</v>
      </c>
      <c r="D4" s="3">
        <v>-32.5</v>
      </c>
      <c r="E4" s="3">
        <v>-4</v>
      </c>
      <c r="F4" s="3">
        <v>0</v>
      </c>
      <c r="G4" s="14">
        <f t="shared" si="0"/>
        <v>46150</v>
      </c>
      <c r="H4" s="5">
        <v>17.2105</v>
      </c>
      <c r="I4" s="5">
        <f>SUMIFS(C4:C$40,A4:A$40,A4,B4:B$40,"*")</f>
        <v>100</v>
      </c>
      <c r="J4" s="59">
        <f t="shared" si="1"/>
        <v>-628.18325000000004</v>
      </c>
      <c r="K4" s="63" cm="1">
        <f t="array" ref="K4">IF(_xlfn.XLOOKUP(A4,A$2:A3,K$2:K3,0,0,1)&lt;&gt;0,0,IF(SUMIF(A$2:A$39,A4,F$2:F$39)&lt;&gt;0,_xlfn.XLOOKUP(A4,A$2:A$39,J$2:J$39,0,0,1)+_xlfn.XLOOKUP(A4,A$2:A$39,J$2:J$39,0,0,-1),0))</f>
        <v>0</v>
      </c>
    </row>
    <row r="5" spans="1:11" x14ac:dyDescent="0.45">
      <c r="A5" s="3" t="s">
        <v>234</v>
      </c>
      <c r="B5" s="3" t="s">
        <v>367</v>
      </c>
      <c r="C5" s="3">
        <v>-1</v>
      </c>
      <c r="D5" s="3">
        <v>222</v>
      </c>
      <c r="E5" s="3">
        <v>-0.25203999999999999</v>
      </c>
      <c r="F5" s="3">
        <v>0</v>
      </c>
      <c r="G5" s="14">
        <f t="shared" si="0"/>
        <v>46035</v>
      </c>
      <c r="H5" s="5">
        <v>17.853999999999999</v>
      </c>
      <c r="I5" s="5">
        <f>SUMIFS(C5:C$40,A5:A$40,A5,B5:B$40,"*")</f>
        <v>0</v>
      </c>
      <c r="J5" s="59">
        <f t="shared" si="1"/>
        <v>3959.0880778400001</v>
      </c>
      <c r="K5" s="63" cm="1">
        <f t="array" ref="K5">IF(_xlfn.XLOOKUP(A5,A$2:A4,K$2:K4,0,0,1)&lt;&gt;0,0,IF(SUMIF(A$2:A$39,A5,F$2:F$39)&lt;&gt;0,_xlfn.XLOOKUP(A5,A$2:A$39,J$2:J$39,0,0,1)+_xlfn.XLOOKUP(A5,A$2:A$39,J$2:J$39,0,0,-1),0))</f>
        <v>-1232.3935055250008</v>
      </c>
    </row>
    <row r="6" spans="1:11" x14ac:dyDescent="0.45">
      <c r="A6" s="3" t="s">
        <v>234</v>
      </c>
      <c r="B6" s="3" t="s">
        <v>368</v>
      </c>
      <c r="C6" s="3">
        <v>1</v>
      </c>
      <c r="D6" s="3">
        <v>-300</v>
      </c>
      <c r="E6" s="3">
        <v>-1.0479499999999999</v>
      </c>
      <c r="F6" s="3">
        <v>-79.299989999999994</v>
      </c>
      <c r="G6" s="14">
        <f t="shared" si="0"/>
        <v>46129</v>
      </c>
      <c r="H6" s="5">
        <v>17.244700000000002</v>
      </c>
      <c r="I6" s="5">
        <f>SUMIFS(C6:C$40,A6:A$40,A6,B6:B$40,"*")</f>
        <v>1</v>
      </c>
      <c r="J6" s="59">
        <f t="shared" si="1"/>
        <v>-5191.4815833650009</v>
      </c>
      <c r="K6" s="63" cm="1">
        <f t="array" ref="K6">IF(_xlfn.XLOOKUP(A6,A$2:A5,K$2:K5,0,0,1)&lt;&gt;0,0,IF(SUMIF(A$2:A$39,A6,F$2:F$39)&lt;&gt;0,_xlfn.XLOOKUP(A6,A$2:A$39,J$2:J$39,0,0,1)+_xlfn.XLOOKUP(A6,A$2:A$39,J$2:J$39,0,0,-1),0))</f>
        <v>0</v>
      </c>
    </row>
    <row r="7" spans="1:11" x14ac:dyDescent="0.45">
      <c r="A7" s="3" t="s">
        <v>268</v>
      </c>
      <c r="B7" s="3" t="s">
        <v>367</v>
      </c>
      <c r="C7" s="3">
        <v>1</v>
      </c>
      <c r="D7" s="3">
        <v>-81</v>
      </c>
      <c r="E7" s="3">
        <v>-0.24875</v>
      </c>
      <c r="F7" s="3">
        <v>0</v>
      </c>
      <c r="G7" s="14">
        <f t="shared" si="0"/>
        <v>46035</v>
      </c>
      <c r="H7" s="5">
        <v>17.853999999999999</v>
      </c>
      <c r="I7" s="5">
        <f>SUMIFS(C7:C$40,A7:A$40,A7,B7:B$40,"*")</f>
        <v>0</v>
      </c>
      <c r="J7" s="59">
        <f t="shared" si="1"/>
        <v>-1450.6151824999999</v>
      </c>
      <c r="K7" s="63" cm="1">
        <f t="array" ref="K7">IF(_xlfn.XLOOKUP(A7,A$2:A6,K$2:K6,0,0,1)&lt;&gt;0,0,IF(SUMIF(A$2:A$39,A7,F$2:F$39)&lt;&gt;0,_xlfn.XLOOKUP(A7,A$2:A$39,J$2:J$39,0,0,1)+_xlfn.XLOOKUP(A7,A$2:A$39,J$2:J$39,0,0,-1),0))</f>
        <v>-1450.6151824999999</v>
      </c>
    </row>
    <row r="8" spans="1:11" x14ac:dyDescent="0.45">
      <c r="A8" s="3" t="s">
        <v>268</v>
      </c>
      <c r="B8" s="3" t="s">
        <v>369</v>
      </c>
      <c r="C8" s="3">
        <v>-1</v>
      </c>
      <c r="D8" s="3">
        <v>0</v>
      </c>
      <c r="E8" s="3">
        <v>0</v>
      </c>
      <c r="F8" s="3">
        <v>-81.248750000000001</v>
      </c>
      <c r="G8" s="14">
        <f t="shared" si="0"/>
        <v>46129</v>
      </c>
      <c r="H8" s="5">
        <v>17.244700000000002</v>
      </c>
      <c r="I8" s="5">
        <f>SUMIFS(C8:C$40,A8:A$40,A8,B8:B$40,"*")</f>
        <v>-1</v>
      </c>
      <c r="J8" s="59">
        <f t="shared" si="1"/>
        <v>0</v>
      </c>
      <c r="K8" s="63" cm="1">
        <f t="array" ref="K8">IF(_xlfn.XLOOKUP(A8,A$2:A7,K$2:K7,0,0,1)&lt;&gt;0,0,IF(SUMIF(A$2:A$39,A8,F$2:F$39)&lt;&gt;0,_xlfn.XLOOKUP(A8,A$2:A$39,J$2:J$39,0,0,1)+_xlfn.XLOOKUP(A8,A$2:A$39,J$2:J$39,0,0,-1),0))</f>
        <v>0</v>
      </c>
    </row>
    <row r="9" spans="1:11" x14ac:dyDescent="0.45">
      <c r="A9" s="3" t="s">
        <v>266</v>
      </c>
      <c r="B9" s="3" t="s">
        <v>367</v>
      </c>
      <c r="C9" s="3">
        <v>1</v>
      </c>
      <c r="D9" s="3">
        <v>-51</v>
      </c>
      <c r="E9" s="3">
        <v>-0.24875</v>
      </c>
      <c r="F9" s="3">
        <v>0</v>
      </c>
      <c r="G9" s="14">
        <f t="shared" si="0"/>
        <v>46035</v>
      </c>
      <c r="H9" s="5">
        <v>17.853999999999999</v>
      </c>
      <c r="I9" s="5">
        <f>SUMIFS(C9:C$40,A9:A$40,A9,B9:B$40,"*")</f>
        <v>0</v>
      </c>
      <c r="J9" s="59">
        <f t="shared" si="1"/>
        <v>-914.99518249999994</v>
      </c>
      <c r="K9" s="63" cm="1">
        <f t="array" ref="K9">IF(_xlfn.XLOOKUP(A9,A$2:A8,K$2:K8,0,0,1)&lt;&gt;0,0,IF(SUMIF(A$2:A$39,A9,F$2:F$39)&lt;&gt;0,_xlfn.XLOOKUP(A9,A$2:A$39,J$2:J$39,0,0,1)+_xlfn.XLOOKUP(A9,A$2:A$39,J$2:J$39,0,0,-1),0))</f>
        <v>-914.99518249999994</v>
      </c>
    </row>
    <row r="10" spans="1:11" x14ac:dyDescent="0.45">
      <c r="A10" s="3" t="s">
        <v>266</v>
      </c>
      <c r="B10" s="3" t="s">
        <v>369</v>
      </c>
      <c r="C10" s="3">
        <v>-1</v>
      </c>
      <c r="D10" s="3">
        <v>0</v>
      </c>
      <c r="E10" s="3">
        <v>0</v>
      </c>
      <c r="F10" s="3">
        <v>-51.248750000000001</v>
      </c>
      <c r="G10" s="14">
        <f t="shared" si="0"/>
        <v>46129</v>
      </c>
      <c r="H10" s="5">
        <v>17.244700000000002</v>
      </c>
      <c r="I10" s="5">
        <f>SUMIFS(C10:C$40,A10:A$40,A10,B10:B$40,"*")</f>
        <v>-1</v>
      </c>
      <c r="J10" s="59">
        <f t="shared" si="1"/>
        <v>0</v>
      </c>
      <c r="K10" s="63" cm="1">
        <f t="array" ref="K10">IF(_xlfn.XLOOKUP(A10,A$2:A9,K$2:K9,0,0,1)&lt;&gt;0,0,IF(SUMIF(A$2:A$39,A10,F$2:F$39)&lt;&gt;0,_xlfn.XLOOKUP(A10,A$2:A$39,J$2:J$39,0,0,1)+_xlfn.XLOOKUP(A10,A$2:A$39,J$2:J$39,0,0,-1),0))</f>
        <v>0</v>
      </c>
    </row>
    <row r="11" spans="1:11" x14ac:dyDescent="0.45">
      <c r="A11" s="3" t="s">
        <v>270</v>
      </c>
      <c r="B11" s="3" t="s">
        <v>367</v>
      </c>
      <c r="C11" s="3">
        <v>-1</v>
      </c>
      <c r="D11" s="3">
        <v>242</v>
      </c>
      <c r="E11" s="3">
        <v>-0.25203999999999999</v>
      </c>
      <c r="F11" s="3">
        <v>0</v>
      </c>
      <c r="G11" s="14">
        <f t="shared" si="0"/>
        <v>46035</v>
      </c>
      <c r="H11" s="5">
        <v>17.853999999999999</v>
      </c>
      <c r="I11" s="5">
        <f>SUMIFS(C11:C$40,A11:A$40,A11,B11:B$40,"*")</f>
        <v>0</v>
      </c>
      <c r="J11" s="59">
        <f t="shared" si="1"/>
        <v>4316.1680778399996</v>
      </c>
      <c r="K11" s="63" cm="1">
        <f t="array" ref="K11">IF(_xlfn.XLOOKUP(A11,A$2:A10,K$2:K10,0,0,1)&lt;&gt;0,0,IF(SUMIF(A$2:A$39,A11,F$2:F$39)&lt;&gt;0,_xlfn.XLOOKUP(A11,A$2:A$39,J$2:J$39,0,0,1)+_xlfn.XLOOKUP(A11,A$2:A$39,J$2:J$39,0,0,-1),0))</f>
        <v>4316.1680778399996</v>
      </c>
    </row>
    <row r="12" spans="1:11" x14ac:dyDescent="0.45">
      <c r="A12" s="3" t="s">
        <v>270</v>
      </c>
      <c r="B12" s="3" t="s">
        <v>369</v>
      </c>
      <c r="C12" s="3">
        <v>1</v>
      </c>
      <c r="D12" s="3">
        <v>0</v>
      </c>
      <c r="E12" s="3">
        <v>0</v>
      </c>
      <c r="F12" s="3">
        <v>241.74796000000001</v>
      </c>
      <c r="G12" s="14">
        <f t="shared" si="0"/>
        <v>46129</v>
      </c>
      <c r="H12" s="5">
        <v>17.244700000000002</v>
      </c>
      <c r="I12" s="5">
        <f>SUMIFS(C12:C$40,A12:A$40,A12,B12:B$40,"*")</f>
        <v>1</v>
      </c>
      <c r="J12" s="59">
        <f t="shared" si="1"/>
        <v>0</v>
      </c>
      <c r="K12" s="63" cm="1">
        <f t="array" ref="K12">IF(_xlfn.XLOOKUP(A12,A$2:A11,K$2:K11,0,0,1)&lt;&gt;0,0,IF(SUMIF(A$2:A$39,A12,F$2:F$39)&lt;&gt;0,_xlfn.XLOOKUP(A12,A$2:A$39,J$2:J$39,0,0,1)+_xlfn.XLOOKUP(A12,A$2:A$39,J$2:J$39,0,0,-1),0))</f>
        <v>0</v>
      </c>
    </row>
    <row r="13" spans="1:11" x14ac:dyDescent="0.45">
      <c r="A13" s="3" t="s">
        <v>246</v>
      </c>
      <c r="B13" s="3" t="s">
        <v>370</v>
      </c>
      <c r="C13" s="3">
        <v>-1</v>
      </c>
      <c r="D13" s="3">
        <v>95</v>
      </c>
      <c r="E13" s="3">
        <v>-1.05124</v>
      </c>
      <c r="F13" s="3">
        <v>0</v>
      </c>
      <c r="G13" s="14">
        <f t="shared" si="0"/>
        <v>46093</v>
      </c>
      <c r="H13" s="5">
        <v>17.8368</v>
      </c>
      <c r="I13" s="5">
        <f>SUMIFS(C13:C$40,A13:A$40,A13,B13:B$40,"*")</f>
        <v>0</v>
      </c>
      <c r="J13" s="59">
        <f t="shared" si="1"/>
        <v>1675.7452423679999</v>
      </c>
      <c r="K13" s="63" cm="1">
        <f t="array" ref="K13">IF(_xlfn.XLOOKUP(A13,A$2:A12,K$2:K12,0,0,1)&lt;&gt;0,0,IF(SUMIF(A$2:A$39,A13,F$2:F$39)&lt;&gt;0,_xlfn.XLOOKUP(A13,A$2:A$39,J$2:J$39,0,0,1)+_xlfn.XLOOKUP(A13,A$2:A$39,J$2:J$39,0,0,-1),0))</f>
        <v>0</v>
      </c>
    </row>
    <row r="14" spans="1:11" x14ac:dyDescent="0.45">
      <c r="A14" s="3" t="s">
        <v>246</v>
      </c>
      <c r="B14" s="3" t="s">
        <v>364</v>
      </c>
      <c r="C14" s="3">
        <v>1</v>
      </c>
      <c r="D14" s="3">
        <v>0</v>
      </c>
      <c r="E14" s="3">
        <v>0</v>
      </c>
      <c r="F14" s="3">
        <v>0</v>
      </c>
      <c r="G14" s="14">
        <f t="shared" si="0"/>
        <v>46122</v>
      </c>
      <c r="H14" s="5">
        <v>17.3033</v>
      </c>
      <c r="I14" s="5">
        <f>SUMIFS(C14:C$40,A14:A$40,A14,B14:B$40,"*")</f>
        <v>1</v>
      </c>
      <c r="J14" s="59">
        <f t="shared" si="1"/>
        <v>0</v>
      </c>
      <c r="K14" s="63" cm="1">
        <f t="array" ref="K14">IF(_xlfn.XLOOKUP(A14,A$2:A13,K$2:K13,0,0,1)&lt;&gt;0,0,IF(SUMIF(A$2:A$39,A14,F$2:F$39)&lt;&gt;0,_xlfn.XLOOKUP(A14,A$2:A$39,J$2:J$39,0,0,1)+_xlfn.XLOOKUP(A14,A$2:A$39,J$2:J$39,0,0,-1),0))</f>
        <v>0</v>
      </c>
    </row>
    <row r="15" spans="1:11" x14ac:dyDescent="0.45">
      <c r="A15" s="3" t="s">
        <v>236</v>
      </c>
      <c r="B15" s="3" t="s">
        <v>371</v>
      </c>
      <c r="C15" s="3">
        <v>-1</v>
      </c>
      <c r="D15" s="3">
        <v>15</v>
      </c>
      <c r="E15" s="3">
        <v>-1.0515490000000001</v>
      </c>
      <c r="F15" s="3">
        <v>0</v>
      </c>
      <c r="G15" s="14">
        <f t="shared" si="0"/>
        <v>46125</v>
      </c>
      <c r="H15" s="5">
        <v>17.347000000000001</v>
      </c>
      <c r="I15" s="5">
        <f>SUMIFS(C15:C$40,A15:A$40,A15,B15:B$40,"*")</f>
        <v>0</v>
      </c>
      <c r="J15" s="59">
        <f t="shared" si="1"/>
        <v>241.96377949700002</v>
      </c>
      <c r="K15" s="63" cm="1">
        <f t="array" ref="K15">IF(_xlfn.XLOOKUP(A15,A$2:A14,K$2:K14,0,0,1)&lt;&gt;0,0,IF(SUMIF(A$2:A$39,A15,F$2:F$39)&lt;&gt;0,_xlfn.XLOOKUP(A15,A$2:A$39,J$2:J$39,0,0,1)+_xlfn.XLOOKUP(A15,A$2:A$39,J$2:J$39,0,0,-1),0))</f>
        <v>-4122.7110222880001</v>
      </c>
    </row>
    <row r="16" spans="1:11" x14ac:dyDescent="0.45">
      <c r="A16" s="3" t="s">
        <v>236</v>
      </c>
      <c r="B16" s="3" t="s">
        <v>372</v>
      </c>
      <c r="C16" s="3">
        <v>1</v>
      </c>
      <c r="D16" s="3">
        <v>-252</v>
      </c>
      <c r="E16" s="3">
        <v>-0.69794999999999996</v>
      </c>
      <c r="F16" s="3">
        <v>-238.74949899999999</v>
      </c>
      <c r="G16" s="14">
        <f t="shared" si="0"/>
        <v>46128</v>
      </c>
      <c r="H16" s="5">
        <v>17.272300000000001</v>
      </c>
      <c r="I16" s="5">
        <f>SUMIFS(C16:C$40,A16:A$40,A16,B16:B$40,"*")</f>
        <v>1</v>
      </c>
      <c r="J16" s="59">
        <f t="shared" si="1"/>
        <v>-4364.6748017850005</v>
      </c>
      <c r="K16" s="63" cm="1">
        <f t="array" ref="K16">IF(_xlfn.XLOOKUP(A16,A$2:A15,K$2:K15,0,0,1)&lt;&gt;0,0,IF(SUMIF(A$2:A$39,A16,F$2:F$39)&lt;&gt;0,_xlfn.XLOOKUP(A16,A$2:A$39,J$2:J$39,0,0,1)+_xlfn.XLOOKUP(A16,A$2:A$39,J$2:J$39,0,0,-1),0))</f>
        <v>0</v>
      </c>
    </row>
    <row r="17" spans="1:11" x14ac:dyDescent="0.45">
      <c r="A17" s="3" t="s">
        <v>252</v>
      </c>
      <c r="B17" s="3" t="s">
        <v>373</v>
      </c>
      <c r="C17" s="3">
        <v>1</v>
      </c>
      <c r="D17" s="3">
        <v>-140</v>
      </c>
      <c r="E17" s="3">
        <v>-0.69794999999999996</v>
      </c>
      <c r="F17" s="3">
        <v>0</v>
      </c>
      <c r="G17" s="14">
        <f t="shared" si="0"/>
        <v>46086</v>
      </c>
      <c r="H17" s="5">
        <v>17.677</v>
      </c>
      <c r="I17" s="5">
        <f>SUMIFS(C17:C$40,A17:A$40,A17,B17:B$40,"*")</f>
        <v>0</v>
      </c>
      <c r="J17" s="59">
        <f t="shared" si="1"/>
        <v>-2487.1176621499999</v>
      </c>
      <c r="K17" s="63" cm="1">
        <f t="array" ref="K17">IF(_xlfn.XLOOKUP(A17,A$2:A16,K$2:K16,0,0,1)&lt;&gt;0,0,IF(SUMIF(A$2:A$39,A17,F$2:F$39)&lt;&gt;0,_xlfn.XLOOKUP(A17,A$2:A$39,J$2:J$39,0,0,1)+_xlfn.XLOOKUP(A17,A$2:A$39,J$2:J$39,0,0,-1),0))</f>
        <v>8510.4353432619992</v>
      </c>
    </row>
    <row r="18" spans="1:11" x14ac:dyDescent="0.45">
      <c r="A18" s="3" t="s">
        <v>252</v>
      </c>
      <c r="B18" s="3" t="s">
        <v>374</v>
      </c>
      <c r="C18" s="3">
        <v>-1</v>
      </c>
      <c r="D18" s="3">
        <v>629</v>
      </c>
      <c r="E18" s="3">
        <v>-0.70123999999999997</v>
      </c>
      <c r="F18" s="3">
        <v>487.60081000000002</v>
      </c>
      <c r="G18" s="14">
        <f t="shared" si="0"/>
        <v>46091</v>
      </c>
      <c r="H18" s="5">
        <v>17.503699999999998</v>
      </c>
      <c r="I18" s="5">
        <f>SUMIFS(C18:C$40,A18:A$40,A18,B18:B$40,"*")</f>
        <v>-1</v>
      </c>
      <c r="J18" s="59">
        <f t="shared" si="1"/>
        <v>10997.553005411999</v>
      </c>
      <c r="K18" s="63" cm="1">
        <f t="array" ref="K18">IF(_xlfn.XLOOKUP(A18,A$2:A17,K$2:K17,0,0,1)&lt;&gt;0,0,IF(SUMIF(A$2:A$39,A18,F$2:F$39)&lt;&gt;0,_xlfn.XLOOKUP(A18,A$2:A$39,J$2:J$39,0,0,1)+_xlfn.XLOOKUP(A18,A$2:A$39,J$2:J$39,0,0,-1),0))</f>
        <v>0</v>
      </c>
    </row>
    <row r="19" spans="1:11" x14ac:dyDescent="0.45">
      <c r="A19" s="3" t="s">
        <v>254</v>
      </c>
      <c r="B19" s="3" t="s">
        <v>373</v>
      </c>
      <c r="C19" s="3">
        <v>-1</v>
      </c>
      <c r="D19" s="3">
        <v>220</v>
      </c>
      <c r="E19" s="3">
        <v>-0.70123999999999997</v>
      </c>
      <c r="F19" s="3">
        <v>0</v>
      </c>
      <c r="G19" s="14">
        <f t="shared" si="0"/>
        <v>46086</v>
      </c>
      <c r="H19" s="5">
        <v>17.677</v>
      </c>
      <c r="I19" s="5">
        <f>SUMIFS(C19:C$40,A19:A$40,A19,B19:B$40,"*")</f>
        <v>0</v>
      </c>
      <c r="J19" s="59">
        <f t="shared" si="1"/>
        <v>3876.5441805199998</v>
      </c>
      <c r="K19" s="63" cm="1">
        <f t="array" ref="K19">IF(_xlfn.XLOOKUP(A19,A$2:A18,K$2:K18,0,0,1)&lt;&gt;0,0,IF(SUMIF(A$2:A$39,A19,F$2:F$39)&lt;&gt;0,_xlfn.XLOOKUP(A19,A$2:A$39,J$2:J$39,0,0,1)+_xlfn.XLOOKUP(A19,A$2:A$39,J$2:J$39,0,0,-1),0))</f>
        <v>3006.6461731049999</v>
      </c>
    </row>
    <row r="20" spans="1:11" x14ac:dyDescent="0.45">
      <c r="A20" s="3" t="s">
        <v>254</v>
      </c>
      <c r="B20" s="3" t="s">
        <v>374</v>
      </c>
      <c r="C20" s="3">
        <v>1</v>
      </c>
      <c r="D20" s="3">
        <v>-49</v>
      </c>
      <c r="E20" s="3">
        <v>-0.69794999999999996</v>
      </c>
      <c r="F20" s="3">
        <v>169.60081</v>
      </c>
      <c r="G20" s="14">
        <f t="shared" si="0"/>
        <v>46091</v>
      </c>
      <c r="H20" s="5">
        <v>17.503699999999998</v>
      </c>
      <c r="I20" s="5">
        <f>SUMIFS(C20:C$40,A20:A$40,A20,B20:B$40,"*")</f>
        <v>1</v>
      </c>
      <c r="J20" s="59">
        <f t="shared" si="1"/>
        <v>-869.89800741499994</v>
      </c>
      <c r="K20" s="63" cm="1">
        <f t="array" ref="K20">IF(_xlfn.XLOOKUP(A20,A$2:A19,K$2:K19,0,0,1)&lt;&gt;0,0,IF(SUMIF(A$2:A$39,A20,F$2:F$39)&lt;&gt;0,_xlfn.XLOOKUP(A20,A$2:A$39,J$2:J$39,0,0,1)+_xlfn.XLOOKUP(A20,A$2:A$39,J$2:J$39,0,0,-1),0))</f>
        <v>0</v>
      </c>
    </row>
    <row r="21" spans="1:11" x14ac:dyDescent="0.45">
      <c r="A21" s="3" t="s">
        <v>238</v>
      </c>
      <c r="B21" s="3" t="s">
        <v>372</v>
      </c>
      <c r="C21" s="3">
        <v>-1</v>
      </c>
      <c r="D21" s="3">
        <v>257</v>
      </c>
      <c r="E21" s="3">
        <v>-0.7065342</v>
      </c>
      <c r="F21" s="3">
        <v>0</v>
      </c>
      <c r="G21" s="14">
        <f t="shared" si="0"/>
        <v>46128</v>
      </c>
      <c r="H21" s="5">
        <v>17.272300000000001</v>
      </c>
      <c r="I21" s="5">
        <f>SUMIFS(C21:C$40,A21:A$40,A21,B21:B$40,"*")</f>
        <v>0</v>
      </c>
      <c r="J21" s="59">
        <f t="shared" si="1"/>
        <v>4426.7776293373399</v>
      </c>
      <c r="K21" s="63" cm="1">
        <f t="array" ref="K21">IF(_xlfn.XLOOKUP(A21,A$2:A20,K$2:K20,0,0,1)&lt;&gt;0,0,IF(SUMIF(A$2:A$39,A21,F$2:F$39)&lt;&gt;0,_xlfn.XLOOKUP(A21,A$2:A$39,J$2:J$39,0,0,1)+_xlfn.XLOOKUP(A21,A$2:A$39,J$2:J$39,0,0,-1),0))</f>
        <v>4426.7776293373399</v>
      </c>
    </row>
    <row r="22" spans="1:11" x14ac:dyDescent="0.45">
      <c r="A22" s="3" t="s">
        <v>238</v>
      </c>
      <c r="B22" s="3" t="s">
        <v>375</v>
      </c>
      <c r="C22" s="3">
        <v>1</v>
      </c>
      <c r="D22" s="3">
        <v>0</v>
      </c>
      <c r="E22" s="3">
        <v>0</v>
      </c>
      <c r="F22" s="3">
        <v>256.29346600000002</v>
      </c>
      <c r="G22" s="14">
        <f t="shared" si="0"/>
        <v>46157</v>
      </c>
      <c r="H22" s="5">
        <v>17.3477</v>
      </c>
      <c r="I22" s="5">
        <f>SUMIFS(C22:C$40,A22:A$40,A22,B22:B$40,"*")</f>
        <v>1</v>
      </c>
      <c r="J22" s="59">
        <f t="shared" si="1"/>
        <v>0</v>
      </c>
      <c r="K22" s="63" cm="1">
        <f t="array" ref="K22">IF(_xlfn.XLOOKUP(A22,A$2:A21,K$2:K21,0,0,1)&lt;&gt;0,0,IF(SUMIF(A$2:A$39,A22,F$2:F$39)&lt;&gt;0,_xlfn.XLOOKUP(A22,A$2:A$39,J$2:J$39,0,0,1)+_xlfn.XLOOKUP(A22,A$2:A$39,J$2:J$39,0,0,-1),0))</f>
        <v>0</v>
      </c>
    </row>
    <row r="23" spans="1:11" x14ac:dyDescent="0.45">
      <c r="A23" s="3" t="s">
        <v>221</v>
      </c>
      <c r="B23" s="3" t="s">
        <v>376</v>
      </c>
      <c r="C23" s="3">
        <v>-1</v>
      </c>
      <c r="D23" s="3">
        <v>62</v>
      </c>
      <c r="E23" s="3">
        <v>-1.0528172</v>
      </c>
      <c r="F23" s="3">
        <v>0</v>
      </c>
      <c r="G23" s="14">
        <f t="shared" si="0"/>
        <v>46161</v>
      </c>
      <c r="H23" s="5">
        <v>17.396799999999999</v>
      </c>
      <c r="I23" s="5">
        <f>SUMIFS(C23:C$40,A23:A$40,A23,B23:B$40,"*")</f>
        <v>-1</v>
      </c>
      <c r="J23" s="59">
        <f t="shared" si="1"/>
        <v>1060.28594973504</v>
      </c>
      <c r="K23" s="63" cm="1">
        <f t="array" ref="K23">IF(_xlfn.XLOOKUP(A23,A$2:A22,K$2:K22,0,0,1)&lt;&gt;0,0,IF(SUMIF(A$2:A$39,A23,F$2:F$39)&lt;&gt;0,_xlfn.XLOOKUP(A23,A$2:A$39,J$2:J$39,0,0,1)+_xlfn.XLOOKUP(A23,A$2:A$39,J$2:J$39,0,0,-1),0))</f>
        <v>0</v>
      </c>
    </row>
    <row r="24" spans="1:11" x14ac:dyDescent="0.45">
      <c r="A24" s="3" t="s">
        <v>226</v>
      </c>
      <c r="B24" s="3" t="s">
        <v>377</v>
      </c>
      <c r="C24" s="3">
        <v>-1</v>
      </c>
      <c r="D24" s="3">
        <v>1299</v>
      </c>
      <c r="E24" s="3">
        <v>-1.0807994000000001</v>
      </c>
      <c r="F24" s="3">
        <v>0</v>
      </c>
      <c r="G24" s="14">
        <f t="shared" si="0"/>
        <v>46149</v>
      </c>
      <c r="H24" s="5">
        <v>17.239999999999998</v>
      </c>
      <c r="I24" s="5">
        <f>SUMIFS(C24:C$40,A24:A$40,A24,B24:B$40,"*")</f>
        <v>-1</v>
      </c>
      <c r="J24" s="59">
        <f t="shared" si="1"/>
        <v>22376.127018343999</v>
      </c>
      <c r="K24" s="63" cm="1">
        <f t="array" ref="K24">IF(_xlfn.XLOOKUP(A24,A$2:A23,K$2:K23,0,0,1)&lt;&gt;0,0,IF(SUMIF(A$2:A$39,A24,F$2:F$39)&lt;&gt;0,_xlfn.XLOOKUP(A24,A$2:A$39,J$2:J$39,0,0,1)+_xlfn.XLOOKUP(A24,A$2:A$39,J$2:J$39,0,0,-1),0))</f>
        <v>0</v>
      </c>
    </row>
    <row r="25" spans="1:11" x14ac:dyDescent="0.45">
      <c r="A25" s="3" t="s">
        <v>228</v>
      </c>
      <c r="B25" s="3" t="s">
        <v>377</v>
      </c>
      <c r="C25" s="3">
        <v>1</v>
      </c>
      <c r="D25" s="3">
        <v>-834</v>
      </c>
      <c r="E25" s="3">
        <v>-1.0507500000000001</v>
      </c>
      <c r="F25" s="3">
        <v>0</v>
      </c>
      <c r="G25" s="14">
        <f t="shared" si="0"/>
        <v>46149</v>
      </c>
      <c r="H25" s="5">
        <v>17.239999999999998</v>
      </c>
      <c r="I25" s="5">
        <f>SUMIFS(C25:C$40,A25:A$40,A25,B25:B$40,"*")</f>
        <v>1</v>
      </c>
      <c r="J25" s="59">
        <f t="shared" si="1"/>
        <v>-14396.274929999998</v>
      </c>
      <c r="K25" s="63" cm="1">
        <f t="array" ref="K25">IF(_xlfn.XLOOKUP(A25,A$2:A24,K$2:K24,0,0,1)&lt;&gt;0,0,IF(SUMIF(A$2:A$39,A25,F$2:F$39)&lt;&gt;0,_xlfn.XLOOKUP(A25,A$2:A$39,J$2:J$39,0,0,1)+_xlfn.XLOOKUP(A25,A$2:A$39,J$2:J$39,0,0,-1),0))</f>
        <v>0</v>
      </c>
    </row>
    <row r="26" spans="1:11" x14ac:dyDescent="0.45">
      <c r="A26" s="3" t="s">
        <v>250</v>
      </c>
      <c r="B26" s="3" t="s">
        <v>378</v>
      </c>
      <c r="C26" s="3">
        <v>1</v>
      </c>
      <c r="D26" s="3">
        <v>-458</v>
      </c>
      <c r="E26" s="3">
        <v>-0.69794999999999996</v>
      </c>
      <c r="F26" s="3">
        <v>0</v>
      </c>
      <c r="G26" s="14">
        <f t="shared" si="0"/>
        <v>46092</v>
      </c>
      <c r="H26" s="5">
        <v>17.654299999999999</v>
      </c>
      <c r="I26" s="5">
        <f>SUMIFS(C26:C$40,A26:A$40,A26,B26:B$40,"*")</f>
        <v>1</v>
      </c>
      <c r="J26" s="59">
        <f t="shared" si="1"/>
        <v>-8097.9912186849997</v>
      </c>
      <c r="K26" s="63" cm="1">
        <f t="array" ref="K26">IF(_xlfn.XLOOKUP(A26,A$2:A25,K$2:K25,0,0,1)&lt;&gt;0,0,IF(SUMIF(A$2:A$39,A26,F$2:F$39)&lt;&gt;0,_xlfn.XLOOKUP(A26,A$2:A$39,J$2:J$39,0,0,1)+_xlfn.XLOOKUP(A26,A$2:A$39,J$2:J$39,0,0,-1),0))</f>
        <v>0</v>
      </c>
    </row>
    <row r="27" spans="1:11" x14ac:dyDescent="0.45">
      <c r="A27" s="3" t="s">
        <v>248</v>
      </c>
      <c r="B27" s="3" t="s">
        <v>378</v>
      </c>
      <c r="C27" s="3">
        <v>-1</v>
      </c>
      <c r="D27" s="3">
        <v>368</v>
      </c>
      <c r="E27" s="3">
        <v>-0.70123999999999997</v>
      </c>
      <c r="F27" s="3">
        <v>0</v>
      </c>
      <c r="G27" s="14">
        <f t="shared" si="0"/>
        <v>46092</v>
      </c>
      <c r="H27" s="5">
        <v>17.654299999999999</v>
      </c>
      <c r="I27" s="5">
        <f>SUMIFS(C27:C$40,A27:A$40,A27,B27:B$40,"*")</f>
        <v>-1</v>
      </c>
      <c r="J27" s="59">
        <f t="shared" si="1"/>
        <v>6484.4024986679997</v>
      </c>
      <c r="K27" s="63" cm="1">
        <f t="array" ref="K27">IF(_xlfn.XLOOKUP(A27,A$2:A26,K$2:K26,0,0,1)&lt;&gt;0,0,IF(SUMIF(A$2:A$39,A27,F$2:F$39)&lt;&gt;0,_xlfn.XLOOKUP(A27,A$2:A$39,J$2:J$39,0,0,1)+_xlfn.XLOOKUP(A27,A$2:A$39,J$2:J$39,0,0,-1),0))</f>
        <v>0</v>
      </c>
    </row>
    <row r="28" spans="1:11" x14ac:dyDescent="0.45">
      <c r="A28" s="3" t="s">
        <v>258</v>
      </c>
      <c r="B28" s="3" t="s">
        <v>379</v>
      </c>
      <c r="C28" s="3">
        <v>1</v>
      </c>
      <c r="D28" s="3">
        <v>-121</v>
      </c>
      <c r="E28" s="3">
        <v>-0.24795</v>
      </c>
      <c r="F28" s="3">
        <v>0</v>
      </c>
      <c r="G28" s="14">
        <f t="shared" si="0"/>
        <v>46087</v>
      </c>
      <c r="H28" s="5">
        <v>17.796199999999999</v>
      </c>
      <c r="I28" s="5">
        <f>SUMIFS(C28:C$40,A28:A$40,A28,B28:B$40,"*")</f>
        <v>1</v>
      </c>
      <c r="J28" s="59">
        <f t="shared" si="1"/>
        <v>-2157.7527677899998</v>
      </c>
      <c r="K28" s="63" cm="1">
        <f t="array" ref="K28">IF(_xlfn.XLOOKUP(A28,A$2:A27,K$2:K27,0,0,1)&lt;&gt;0,0,IF(SUMIF(A$2:A$39,A28,F$2:F$39)&lt;&gt;0,_xlfn.XLOOKUP(A28,A$2:A$39,J$2:J$39,0,0,1)+_xlfn.XLOOKUP(A28,A$2:A$39,J$2:J$39,0,0,-1),0))</f>
        <v>0</v>
      </c>
    </row>
    <row r="29" spans="1:11" x14ac:dyDescent="0.45">
      <c r="A29" s="3" t="s">
        <v>256</v>
      </c>
      <c r="B29" s="3" t="s">
        <v>379</v>
      </c>
      <c r="C29" s="3">
        <v>-1</v>
      </c>
      <c r="D29" s="3">
        <v>232</v>
      </c>
      <c r="E29" s="3">
        <v>-0.25124000000000002</v>
      </c>
      <c r="F29" s="3">
        <v>0</v>
      </c>
      <c r="G29" s="14">
        <f t="shared" si="0"/>
        <v>46087</v>
      </c>
      <c r="H29" s="5">
        <v>17.796199999999999</v>
      </c>
      <c r="I29" s="5">
        <f>SUMIFS(C29:C$40,A29:A$40,A29,B29:B$40,"*")</f>
        <v>-1</v>
      </c>
      <c r="J29" s="59">
        <f t="shared" si="1"/>
        <v>4124.247282712</v>
      </c>
      <c r="K29" s="63" cm="1">
        <f t="array" ref="K29">IF(_xlfn.XLOOKUP(A29,A$2:A28,K$2:K28,0,0,1)&lt;&gt;0,0,IF(SUMIF(A$2:A$39,A29,F$2:F$39)&lt;&gt;0,_xlfn.XLOOKUP(A29,A$2:A$39,J$2:J$39,0,0,1)+_xlfn.XLOOKUP(A29,A$2:A$39,J$2:J$39,0,0,-1),0))</f>
        <v>0</v>
      </c>
    </row>
    <row r="30" spans="1:11" x14ac:dyDescent="0.45">
      <c r="A30" s="3" t="s">
        <v>264</v>
      </c>
      <c r="B30" s="3" t="s">
        <v>380</v>
      </c>
      <c r="C30" s="3">
        <v>-1</v>
      </c>
      <c r="D30" s="3">
        <v>160</v>
      </c>
      <c r="E30" s="3">
        <v>-2.0400000000000001E-3</v>
      </c>
      <c r="F30" s="3">
        <v>0</v>
      </c>
      <c r="G30" s="14">
        <f t="shared" si="0"/>
        <v>46038</v>
      </c>
      <c r="H30" s="5">
        <v>17.686699999999998</v>
      </c>
      <c r="I30" s="5">
        <f>SUMIFS(C30:C$40,A30:A$40,A30,B30:B$40,"*")</f>
        <v>0</v>
      </c>
      <c r="J30" s="59">
        <f t="shared" si="1"/>
        <v>2829.8359191319996</v>
      </c>
      <c r="K30" s="63" cm="1">
        <f t="array" ref="K30">IF(_xlfn.XLOOKUP(A30,A$2:A29,K$2:K29,0,0,1)&lt;&gt;0,0,IF(SUMIF(A$2:A$39,A30,F$2:F$39)&lt;&gt;0,_xlfn.XLOOKUP(A30,A$2:A$39,J$2:J$39,0,0,1)+_xlfn.XLOOKUP(A30,A$2:A$39,J$2:J$39,0,0,-1),0))</f>
        <v>2829.8359191319996</v>
      </c>
    </row>
    <row r="31" spans="1:11" x14ac:dyDescent="0.45">
      <c r="A31" s="3" t="s">
        <v>264</v>
      </c>
      <c r="B31" s="3" t="s">
        <v>381</v>
      </c>
      <c r="C31" s="3">
        <v>1</v>
      </c>
      <c r="D31" s="3">
        <v>0</v>
      </c>
      <c r="E31" s="3">
        <v>0</v>
      </c>
      <c r="F31" s="3">
        <v>159.99796000000001</v>
      </c>
      <c r="G31" s="14">
        <f t="shared" si="0"/>
        <v>46101</v>
      </c>
      <c r="H31" s="5">
        <v>17.899799999999999</v>
      </c>
      <c r="I31" s="5">
        <f>SUMIFS(C31:C$40,A31:A$40,A31,B31:B$40,"*")</f>
        <v>1</v>
      </c>
      <c r="J31" s="59">
        <f t="shared" si="1"/>
        <v>0</v>
      </c>
      <c r="K31" s="63" cm="1">
        <f t="array" ref="K31">IF(_xlfn.XLOOKUP(A31,A$2:A30,K$2:K30,0,0,1)&lt;&gt;0,0,IF(SUMIF(A$2:A$39,A31,F$2:F$39)&lt;&gt;0,_xlfn.XLOOKUP(A31,A$2:A$39,J$2:J$39,0,0,1)+_xlfn.XLOOKUP(A31,A$2:A$39,J$2:J$39,0,0,-1),0))</f>
        <v>0</v>
      </c>
    </row>
    <row r="32" spans="1:11" x14ac:dyDescent="0.45">
      <c r="A32" s="3" t="s">
        <v>260</v>
      </c>
      <c r="B32" s="3" t="s">
        <v>382</v>
      </c>
      <c r="C32" s="3">
        <v>1</v>
      </c>
      <c r="D32" s="3">
        <v>-52</v>
      </c>
      <c r="E32" s="3">
        <v>-0.69874999999999998</v>
      </c>
      <c r="F32" s="3">
        <v>0</v>
      </c>
      <c r="G32" s="14">
        <f t="shared" si="0"/>
        <v>46064</v>
      </c>
      <c r="H32" s="5">
        <v>17.215499999999999</v>
      </c>
      <c r="I32" s="5">
        <f>SUMIFS(C32:C$40,A32:A$40,A32,B32:B$40,"*")</f>
        <v>1</v>
      </c>
      <c r="J32" s="59">
        <f t="shared" si="1"/>
        <v>-907.23533062499985</v>
      </c>
      <c r="K32" s="63" cm="1">
        <f t="array" ref="K32">IF(_xlfn.XLOOKUP(A32,A$2:A31,K$2:K31,0,0,1)&lt;&gt;0,0,IF(SUMIF(A$2:A$39,A32,F$2:F$39)&lt;&gt;0,_xlfn.XLOOKUP(A32,A$2:A$39,J$2:J$39,0,0,1)+_xlfn.XLOOKUP(A32,A$2:A$39,J$2:J$39,0,0,-1),0))</f>
        <v>0</v>
      </c>
    </row>
    <row r="33" spans="1:11" x14ac:dyDescent="0.45">
      <c r="A33" s="3" t="s">
        <v>262</v>
      </c>
      <c r="B33" s="3" t="s">
        <v>382</v>
      </c>
      <c r="C33" s="3">
        <v>-1</v>
      </c>
      <c r="D33" s="3">
        <v>94</v>
      </c>
      <c r="E33" s="3">
        <v>-0.70204</v>
      </c>
      <c r="F33" s="3">
        <v>0</v>
      </c>
      <c r="G33" s="14">
        <f t="shared" si="0"/>
        <v>46064</v>
      </c>
      <c r="H33" s="5">
        <v>17.215499999999999</v>
      </c>
      <c r="I33" s="5">
        <f>SUMIFS(C33:C$40,A33:A$40,A33,B33:B$40,"*")</f>
        <v>-1</v>
      </c>
      <c r="J33" s="59">
        <f t="shared" si="1"/>
        <v>1606.17103038</v>
      </c>
      <c r="K33" s="63" cm="1">
        <f t="array" ref="K33">IF(_xlfn.XLOOKUP(A33,A$2:A32,K$2:K32,0,0,1)&lt;&gt;0,0,IF(SUMIF(A$2:A$39,A33,F$2:F$39)&lt;&gt;0,_xlfn.XLOOKUP(A33,A$2:A$39,J$2:J$39,0,0,1)+_xlfn.XLOOKUP(A33,A$2:A$39,J$2:J$39,0,0,-1),0))</f>
        <v>0</v>
      </c>
    </row>
    <row r="34" spans="1:11" x14ac:dyDescent="0.45">
      <c r="A34" s="3" t="s">
        <v>230</v>
      </c>
      <c r="B34" s="3" t="s">
        <v>383</v>
      </c>
      <c r="C34" s="3">
        <v>1</v>
      </c>
      <c r="D34" s="3">
        <v>-213</v>
      </c>
      <c r="E34" s="3">
        <v>-0.69825000000000004</v>
      </c>
      <c r="F34" s="3">
        <v>0</v>
      </c>
      <c r="G34" s="14">
        <f t="shared" si="0"/>
        <v>46146</v>
      </c>
      <c r="H34" s="5">
        <v>17.515699999999999</v>
      </c>
      <c r="I34" s="5">
        <f>SUMIFS(C34:C$40,A34:A$40,A34,B34:B$40,"*")</f>
        <v>1</v>
      </c>
      <c r="J34" s="59">
        <f t="shared" si="1"/>
        <v>-3743.0744375249997</v>
      </c>
      <c r="K34" s="63" cm="1">
        <f t="array" ref="K34">IF(_xlfn.XLOOKUP(A34,A$2:A33,K$2:K33,0,0,1)&lt;&gt;0,0,IF(SUMIF(A$2:A$39,A34,F$2:F$39)&lt;&gt;0,_xlfn.XLOOKUP(A34,A$2:A$39,J$2:J$39,0,0,1)+_xlfn.XLOOKUP(A34,A$2:A$39,J$2:J$39,0,0,-1),0))</f>
        <v>0</v>
      </c>
    </row>
    <row r="35" spans="1:11" x14ac:dyDescent="0.45">
      <c r="A35" s="3" t="s">
        <v>232</v>
      </c>
      <c r="B35" s="3" t="s">
        <v>383</v>
      </c>
      <c r="C35" s="3">
        <v>-1</v>
      </c>
      <c r="D35" s="3">
        <v>288</v>
      </c>
      <c r="E35" s="3">
        <v>-0.70747280000000001</v>
      </c>
      <c r="F35" s="3">
        <v>0</v>
      </c>
      <c r="G35" s="14">
        <f t="shared" si="0"/>
        <v>46146</v>
      </c>
      <c r="H35" s="5">
        <v>17.515699999999999</v>
      </c>
      <c r="I35" s="5">
        <f>SUMIFS(C35:C$40,A35:A$40,A35,B35:B$40,"*")</f>
        <v>-1</v>
      </c>
      <c r="J35" s="59">
        <f t="shared" si="1"/>
        <v>5032.1297186770398</v>
      </c>
      <c r="K35" s="63" cm="1">
        <f t="array" ref="K35">IF(_xlfn.XLOOKUP(A35,A$2:A34,K$2:K34,0,0,1)&lt;&gt;0,0,IF(SUMIF(A$2:A$39,A35,F$2:F$39)&lt;&gt;0,_xlfn.XLOOKUP(A35,A$2:A$39,J$2:J$39,0,0,1)+_xlfn.XLOOKUP(A35,A$2:A$39,J$2:J$39,0,0,-1),0))</f>
        <v>0</v>
      </c>
    </row>
    <row r="36" spans="1:11" x14ac:dyDescent="0.45">
      <c r="A36" s="3" t="s">
        <v>242</v>
      </c>
      <c r="B36" s="3" t="s">
        <v>384</v>
      </c>
      <c r="C36" s="3">
        <v>1</v>
      </c>
      <c r="D36" s="3">
        <v>-12</v>
      </c>
      <c r="E36" s="3">
        <v>-1.05125</v>
      </c>
      <c r="F36" s="3">
        <v>0</v>
      </c>
      <c r="G36" s="14">
        <f t="shared" si="0"/>
        <v>46073</v>
      </c>
      <c r="H36" s="5">
        <v>17.1722</v>
      </c>
      <c r="I36" s="5">
        <f>SUMIFS(C36:C$40,A36:A$40,A36,B36:B$40,"*")</f>
        <v>0</v>
      </c>
      <c r="J36" s="59">
        <f t="shared" si="1"/>
        <v>-224.11867525</v>
      </c>
      <c r="K36" s="63" cm="1">
        <f t="array" ref="K36">IF(_xlfn.XLOOKUP(A36,A$2:A35,K$2:K35,0,0,1)&lt;&gt;0,0,IF(SUMIF(A$2:A$39,A36,F$2:F$39)&lt;&gt;0,_xlfn.XLOOKUP(A36,A$2:A$39,J$2:J$39,0,0,1)+_xlfn.XLOOKUP(A36,A$2:A$39,J$2:J$39,0,0,-1),0))</f>
        <v>137.37358904200002</v>
      </c>
    </row>
    <row r="37" spans="1:11" x14ac:dyDescent="0.45">
      <c r="A37" s="3" t="s">
        <v>242</v>
      </c>
      <c r="B37" s="3" t="s">
        <v>385</v>
      </c>
      <c r="C37" s="3">
        <v>-1</v>
      </c>
      <c r="D37" s="3">
        <v>21</v>
      </c>
      <c r="E37" s="3">
        <v>-0.99124000000000001</v>
      </c>
      <c r="F37" s="3">
        <v>6.9575100000000001</v>
      </c>
      <c r="G37" s="14">
        <f t="shared" si="0"/>
        <v>46108</v>
      </c>
      <c r="H37" s="5">
        <v>18.066700000000001</v>
      </c>
      <c r="I37" s="5">
        <f>SUMIFS(C37:C$40,A37:A$40,A37,B37:B$40,"*")</f>
        <v>-1</v>
      </c>
      <c r="J37" s="59">
        <f t="shared" si="1"/>
        <v>361.49226429200002</v>
      </c>
      <c r="K37" s="63" cm="1">
        <f t="array" ref="K37">IF(_xlfn.XLOOKUP(A37,A$2:A36,K$2:K36,0,0,1)&lt;&gt;0,0,IF(SUMIF(A$2:A$39,A37,F$2:F$39)&lt;&gt;0,_xlfn.XLOOKUP(A37,A$2:A$39,J$2:J$39,0,0,1)+_xlfn.XLOOKUP(A37,A$2:A$39,J$2:J$39,0,0,-1),0))</f>
        <v>0</v>
      </c>
    </row>
    <row r="38" spans="1:11" x14ac:dyDescent="0.45">
      <c r="A38" s="3" t="s">
        <v>244</v>
      </c>
      <c r="B38" s="3" t="s">
        <v>384</v>
      </c>
      <c r="C38" s="3">
        <v>1</v>
      </c>
      <c r="D38" s="3">
        <v>-22</v>
      </c>
      <c r="E38" s="3">
        <v>-1.05125</v>
      </c>
      <c r="F38" s="3">
        <v>0</v>
      </c>
      <c r="G38" s="14">
        <f t="shared" si="0"/>
        <v>46073</v>
      </c>
      <c r="H38" s="5">
        <v>17.1722</v>
      </c>
      <c r="I38" s="5">
        <f>SUMIFS(C38:C$40,A38:A$40,A38,B38:B$40,"*")</f>
        <v>0</v>
      </c>
      <c r="J38" s="59">
        <f t="shared" si="1"/>
        <v>-395.84067525</v>
      </c>
      <c r="K38" s="63" cm="1">
        <f t="array" ref="K38">IF(_xlfn.XLOOKUP(A38,A$2:A37,K$2:K37,0,0,1)&lt;&gt;0,0,IF(SUMIF(A$2:A$39,A38,F$2:F$39)&lt;&gt;0,_xlfn.XLOOKUP(A38,A$2:A$39,J$2:J$39,0,0,1)+_xlfn.XLOOKUP(A38,A$2:A$39,J$2:J$39,0,0,-1),0))</f>
        <v>290.85218904200008</v>
      </c>
    </row>
    <row r="39" spans="1:11" x14ac:dyDescent="0.45">
      <c r="A39" s="3" t="s">
        <v>244</v>
      </c>
      <c r="B39" s="3" t="s">
        <v>385</v>
      </c>
      <c r="C39" s="3">
        <v>-1</v>
      </c>
      <c r="D39" s="3">
        <v>39</v>
      </c>
      <c r="E39" s="3">
        <v>-0.99124000000000001</v>
      </c>
      <c r="F39" s="3">
        <v>14.957509999999999</v>
      </c>
      <c r="G39" s="14">
        <f t="shared" si="0"/>
        <v>46108</v>
      </c>
      <c r="H39" s="5">
        <v>18.066700000000001</v>
      </c>
      <c r="I39" s="5">
        <f>SUMIFS(C39:C$40,A39:A$40,A39,B39:B$40,"*")</f>
        <v>-1</v>
      </c>
      <c r="J39" s="59">
        <f t="shared" si="1"/>
        <v>686.69286429200008</v>
      </c>
      <c r="K39" s="63" cm="1">
        <f t="array" ref="K39">IF(_xlfn.XLOOKUP(A39,A$2:A38,K$2:K38,0,0,1)&lt;&gt;0,0,IF(SUMIF(A$2:A$39,A39,F$2:F$39)&lt;&gt;0,_xlfn.XLOOKUP(A39,A$2:A$39,J$2:J$39,0,0,1)+_xlfn.XLOOKUP(A39,A$2:A$39,J$2:J$39,0,0,-1),0))</f>
        <v>0</v>
      </c>
    </row>
  </sheetData>
  <autoFilter ref="A1:K39" xr:uid="{C662DEA6-638F-4168-BD35-DCF3F82CA738}"/>
  <conditionalFormatting sqref="J1:K1048576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Instrucciones</vt:lpstr>
      <vt:lpstr>Código Python</vt:lpstr>
      <vt:lpstr>Resumen</vt:lpstr>
      <vt:lpstr>GBM-DW</vt:lpstr>
      <vt:lpstr>IBKR Transactions</vt:lpstr>
      <vt:lpstr>Moomoo</vt:lpstr>
      <vt:lpstr>IBKR Activity Statement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Scientia</dc:creator>
  <cp:lastModifiedBy/>
  <dcterms:created xsi:type="dcterms:W3CDTF">2026-08-01T19:44:33Z</dcterms:created>
  <dcterms:modified xsi:type="dcterms:W3CDTF">2026-08-01T19:45:35Z</dcterms:modified>
</cp:coreProperties>
</file>